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Transco_OKTCo_SWTCo\Filed Documents\"/>
    </mc:Choice>
  </mc:AlternateContent>
  <xr:revisionPtr revIDLastSave="0" documentId="13_ncr:1_{5AF6D4FE-8209-47F1-A739-CAC392FFF9CA}" xr6:coauthVersionLast="47" xr6:coauthVersionMax="47" xr10:uidLastSave="{00000000-0000-0000-0000-000000000000}"/>
  <bookViews>
    <workbookView xWindow="-24120" yWindow="-30" windowWidth="24240" windowHeight="13020" xr2:uid="{00000000-000D-0000-FFFF-FFFF00000000}"/>
  </bookViews>
  <sheets>
    <sheet name="Instructions" sheetId="33" r:id="rId1"/>
    <sheet name="2021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2">Summary!$C$1:$I$39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1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4" l="1"/>
  <c r="D18" i="34"/>
  <c r="C18" i="34"/>
  <c r="H35" i="29" s="1"/>
  <c r="D16" i="34"/>
  <c r="D15" i="34"/>
  <c r="C15" i="34"/>
  <c r="H32" i="29" s="1"/>
  <c r="B13" i="34"/>
  <c r="D11" i="34"/>
  <c r="D10" i="34"/>
  <c r="C10" i="34"/>
  <c r="H27" i="29" s="1"/>
  <c r="D7" i="34"/>
  <c r="D5" i="34"/>
  <c r="C5" i="34"/>
  <c r="H22" i="29" s="1"/>
  <c r="B4" i="34"/>
  <c r="D12" i="34"/>
  <c r="C20" i="34"/>
  <c r="H37" i="29" s="1"/>
  <c r="E20" i="34" l="1"/>
  <c r="E15" i="34"/>
  <c r="E5" i="34"/>
  <c r="E10" i="34"/>
  <c r="E18" i="34"/>
  <c r="C8" i="34"/>
  <c r="H25" i="29" s="1"/>
  <c r="C13" i="34"/>
  <c r="H30" i="29" s="1"/>
  <c r="D8" i="34"/>
  <c r="C11" i="34"/>
  <c r="H28" i="29" s="1"/>
  <c r="D13" i="34"/>
  <c r="C16" i="34"/>
  <c r="H33" i="29" s="1"/>
  <c r="E2" i="34"/>
  <c r="C6" i="34"/>
  <c r="H23" i="29" s="1"/>
  <c r="D6" i="34"/>
  <c r="C9" i="34"/>
  <c r="H26" i="29" s="1"/>
  <c r="C14" i="34"/>
  <c r="H31" i="29" s="1"/>
  <c r="D19" i="34"/>
  <c r="D21" i="34" s="1"/>
  <c r="C19" i="34"/>
  <c r="H36" i="29" s="1"/>
  <c r="C4" i="34"/>
  <c r="H21" i="29" s="1"/>
  <c r="D9" i="34"/>
  <c r="C12" i="34"/>
  <c r="H29" i="29" s="1"/>
  <c r="D14" i="34"/>
  <c r="D4" i="34"/>
  <c r="C7" i="34"/>
  <c r="H24" i="29" s="1"/>
  <c r="E19" i="34" l="1"/>
  <c r="E21" i="34" s="1"/>
  <c r="E14" i="34"/>
  <c r="E11" i="34"/>
  <c r="E9" i="34"/>
  <c r="E16" i="34"/>
  <c r="E7" i="34"/>
  <c r="E12" i="34"/>
  <c r="E6" i="34"/>
  <c r="C17" i="34"/>
  <c r="E4" i="34"/>
  <c r="D17" i="34"/>
  <c r="D22" i="34" s="1"/>
  <c r="C21" i="34"/>
  <c r="E13" i="34"/>
  <c r="E8" i="34"/>
  <c r="C22" i="34" l="1"/>
  <c r="E17" i="34"/>
  <c r="E22" i="34" s="1"/>
  <c r="C5" i="29"/>
  <c r="L3" i="18" l="1"/>
  <c r="H186" i="18"/>
  <c r="H54" i="18" l="1"/>
  <c r="H106" i="18"/>
  <c r="H170" i="18"/>
  <c r="H23" i="18"/>
  <c r="H31" i="18"/>
  <c r="H63" i="18"/>
  <c r="H126" i="18"/>
  <c r="H190" i="18"/>
  <c r="H38" i="18"/>
  <c r="H74" i="18"/>
  <c r="H138" i="18"/>
  <c r="H202" i="18"/>
  <c r="H22" i="18"/>
  <c r="H47" i="18"/>
  <c r="H94" i="18"/>
  <c r="H158" i="18"/>
  <c r="H27" i="18"/>
  <c r="H39" i="18"/>
  <c r="H55" i="18"/>
  <c r="H78" i="18"/>
  <c r="H110" i="18"/>
  <c r="H142" i="18"/>
  <c r="H174" i="18"/>
  <c r="H206" i="18"/>
  <c r="H30" i="18"/>
  <c r="H46" i="18"/>
  <c r="H62" i="18"/>
  <c r="H90" i="18"/>
  <c r="H122" i="18"/>
  <c r="H154" i="18"/>
  <c r="H209" i="18"/>
  <c r="H205" i="18"/>
  <c r="H201" i="18"/>
  <c r="H197" i="18"/>
  <c r="H193" i="18"/>
  <c r="H189" i="18"/>
  <c r="H185" i="18"/>
  <c r="H181" i="18"/>
  <c r="H177" i="18"/>
  <c r="H173" i="18"/>
  <c r="H169" i="18"/>
  <c r="H165" i="18"/>
  <c r="H161" i="18"/>
  <c r="H157" i="18"/>
  <c r="H153" i="18"/>
  <c r="H149" i="18"/>
  <c r="H145" i="18"/>
  <c r="H141" i="18"/>
  <c r="H137" i="18"/>
  <c r="H133" i="18"/>
  <c r="H129" i="18"/>
  <c r="H125" i="18"/>
  <c r="H121" i="18"/>
  <c r="H117" i="18"/>
  <c r="H113" i="18"/>
  <c r="H109" i="18"/>
  <c r="H105" i="18"/>
  <c r="H101" i="18"/>
  <c r="H97" i="18"/>
  <c r="H93" i="18"/>
  <c r="H89" i="18"/>
  <c r="H85" i="18"/>
  <c r="H81" i="18"/>
  <c r="H77" i="18"/>
  <c r="H73" i="18"/>
  <c r="H69" i="18"/>
  <c r="H65" i="18"/>
  <c r="H61" i="18"/>
  <c r="H57" i="18"/>
  <c r="H53" i="18"/>
  <c r="H49" i="18"/>
  <c r="H45" i="18"/>
  <c r="H41" i="18"/>
  <c r="H37" i="18"/>
  <c r="H33" i="18"/>
  <c r="H29" i="18"/>
  <c r="H25" i="18"/>
  <c r="H21" i="18"/>
  <c r="H208" i="18"/>
  <c r="H204" i="18"/>
  <c r="H200" i="18"/>
  <c r="H196" i="18"/>
  <c r="H192" i="18"/>
  <c r="H188" i="18"/>
  <c r="H184" i="18"/>
  <c r="H180" i="18"/>
  <c r="H176" i="18"/>
  <c r="H172" i="18"/>
  <c r="H168" i="18"/>
  <c r="H164" i="18"/>
  <c r="H160" i="18"/>
  <c r="H156" i="18"/>
  <c r="H152" i="18"/>
  <c r="H148" i="18"/>
  <c r="H144" i="18"/>
  <c r="H140" i="18"/>
  <c r="H136" i="18"/>
  <c r="H132" i="18"/>
  <c r="H128" i="18"/>
  <c r="H124" i="18"/>
  <c r="H120" i="18"/>
  <c r="H116" i="18"/>
  <c r="H112" i="18"/>
  <c r="H108" i="18"/>
  <c r="H104" i="18"/>
  <c r="H100" i="18"/>
  <c r="H96" i="18"/>
  <c r="H92" i="18"/>
  <c r="H88" i="18"/>
  <c r="H84" i="18"/>
  <c r="H80" i="18"/>
  <c r="H76" i="18"/>
  <c r="H72" i="18"/>
  <c r="H68" i="18"/>
  <c r="H64" i="18"/>
  <c r="H60" i="18"/>
  <c r="H56" i="18"/>
  <c r="H52" i="18"/>
  <c r="H48" i="18"/>
  <c r="H44" i="18"/>
  <c r="H40" i="18"/>
  <c r="H36" i="18"/>
  <c r="H32" i="18"/>
  <c r="H28" i="18"/>
  <c r="H24" i="18"/>
  <c r="H20" i="18"/>
  <c r="H211" i="18"/>
  <c r="H207" i="18"/>
  <c r="H203" i="18"/>
  <c r="H199" i="18"/>
  <c r="H195" i="18"/>
  <c r="H191" i="18"/>
  <c r="H187" i="18"/>
  <c r="H183" i="18"/>
  <c r="H179" i="18"/>
  <c r="H175" i="18"/>
  <c r="H171" i="18"/>
  <c r="H167" i="18"/>
  <c r="H163" i="18"/>
  <c r="H159" i="18"/>
  <c r="H155" i="18"/>
  <c r="H151" i="18"/>
  <c r="H147" i="18"/>
  <c r="H143" i="18"/>
  <c r="H139" i="18"/>
  <c r="H135" i="18"/>
  <c r="H131" i="18"/>
  <c r="H127" i="18"/>
  <c r="H123" i="18"/>
  <c r="H119" i="18"/>
  <c r="H115" i="18"/>
  <c r="H111" i="18"/>
  <c r="H107" i="18"/>
  <c r="H103" i="18"/>
  <c r="H99" i="18"/>
  <c r="H95" i="18"/>
  <c r="H91" i="18"/>
  <c r="H87" i="18"/>
  <c r="H83" i="18"/>
  <c r="H79" i="18"/>
  <c r="H75" i="18"/>
  <c r="H71" i="18"/>
  <c r="H67" i="18"/>
  <c r="H26" i="18"/>
  <c r="H34" i="18"/>
  <c r="H42" i="18"/>
  <c r="H50" i="18"/>
  <c r="H58" i="18"/>
  <c r="H66" i="18"/>
  <c r="H82" i="18"/>
  <c r="H98" i="18"/>
  <c r="H114" i="18"/>
  <c r="H130" i="18"/>
  <c r="H146" i="18"/>
  <c r="H162" i="18"/>
  <c r="H178" i="18"/>
  <c r="H194" i="18"/>
  <c r="H210" i="18"/>
  <c r="H35" i="18"/>
  <c r="H43" i="18"/>
  <c r="H51" i="18"/>
  <c r="H59" i="18"/>
  <c r="H70" i="18"/>
  <c r="H86" i="18"/>
  <c r="H102" i="18"/>
  <c r="H118" i="18"/>
  <c r="H134" i="18"/>
  <c r="H150" i="18"/>
  <c r="H166" i="18"/>
  <c r="H182" i="18"/>
  <c r="H198" i="18"/>
  <c r="K20" i="18" l="1"/>
  <c r="O191" i="18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O209" i="18"/>
  <c r="O181" i="18"/>
  <c r="P181" i="18" s="1"/>
  <c r="O177" i="18"/>
  <c r="P177" i="18" s="1"/>
  <c r="O145" i="18"/>
  <c r="O121" i="18"/>
  <c r="O97" i="18"/>
  <c r="P97" i="18" s="1"/>
  <c r="O81" i="18"/>
  <c r="P81" i="18" s="1"/>
  <c r="O73" i="18"/>
  <c r="O49" i="18"/>
  <c r="O25" i="18"/>
  <c r="O208" i="18"/>
  <c r="P208" i="18" s="1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35" i="18" s="1"/>
  <c r="P191" i="18"/>
  <c r="P121" i="18"/>
  <c r="P98" i="18"/>
  <c r="P38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D33" i="18"/>
  <c r="D57" i="18" s="1"/>
  <c r="D69" i="18" s="1"/>
  <c r="D34" i="18"/>
  <c r="D46" i="18" s="1"/>
  <c r="C49" i="18"/>
  <c r="D53" i="18"/>
  <c r="C73" i="18"/>
  <c r="C85" i="18"/>
  <c r="C97" i="18" s="1"/>
  <c r="C109" i="18" s="1"/>
  <c r="C121" i="18" s="1"/>
  <c r="C133" i="18" s="1"/>
  <c r="C145" i="18" s="1"/>
  <c r="C157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P78" i="18" s="1"/>
  <c r="O30" i="18"/>
  <c r="O173" i="18"/>
  <c r="P173" i="18" s="1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P65" i="18" s="1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O198" i="18"/>
  <c r="P198" i="18" s="1"/>
  <c r="O147" i="18"/>
  <c r="P147" i="18" s="1"/>
  <c r="O51" i="18"/>
  <c r="O207" i="18"/>
  <c r="O171" i="18"/>
  <c r="P171" i="18" s="1"/>
  <c r="O211" i="18"/>
  <c r="O58" i="18"/>
  <c r="O114" i="18"/>
  <c r="O166" i="18"/>
  <c r="P166" i="18" s="1"/>
  <c r="O83" i="18"/>
  <c r="P83" i="18" s="1"/>
  <c r="O203" i="18"/>
  <c r="P203" i="18" s="1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P165" i="18" s="1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 s="1"/>
  <c r="O155" i="18"/>
  <c r="O179" i="18"/>
  <c r="O182" i="18"/>
  <c r="P182" i="18" s="1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P71" i="18" s="1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57" i="18"/>
  <c r="E28" i="29"/>
  <c r="D37" i="29"/>
  <c r="G30" i="29"/>
  <c r="D23" i="29"/>
  <c r="D29" i="29"/>
  <c r="E27" i="29"/>
  <c r="D24" i="29"/>
  <c r="E35" i="29"/>
  <c r="E29" i="29"/>
  <c r="E31" i="29"/>
  <c r="G35" i="29"/>
  <c r="G26" i="29"/>
  <c r="E25" i="29"/>
  <c r="G37" i="29"/>
  <c r="G31" i="29"/>
  <c r="D27" i="29"/>
  <c r="G33" i="29"/>
  <c r="D32" i="29"/>
  <c r="D33" i="29"/>
  <c r="E30" i="29"/>
  <c r="E36" i="29"/>
  <c r="D22" i="29"/>
  <c r="E26" i="29"/>
  <c r="G23" i="29"/>
  <c r="G28" i="29"/>
  <c r="D31" i="29"/>
  <c r="D21" i="29"/>
  <c r="G25" i="29"/>
  <c r="D28" i="29"/>
  <c r="G27" i="29"/>
  <c r="G21" i="29"/>
  <c r="G36" i="29"/>
  <c r="E37" i="29"/>
  <c r="G29" i="29"/>
  <c r="D26" i="29"/>
  <c r="E24" i="29"/>
  <c r="G22" i="29"/>
  <c r="E32" i="29"/>
  <c r="D30" i="29"/>
  <c r="G24" i="29"/>
  <c r="E21" i="29"/>
  <c r="E23" i="29"/>
  <c r="G32" i="29"/>
  <c r="E22" i="29"/>
  <c r="D25" i="29"/>
  <c r="D35" i="29"/>
  <c r="D36" i="29"/>
  <c r="E33" i="29"/>
  <c r="C63" i="18" l="1"/>
  <c r="C75" i="18" s="1"/>
  <c r="C58" i="18"/>
  <c r="D55" i="18"/>
  <c r="D64" i="18"/>
  <c r="D76" i="18" s="1"/>
  <c r="C66" i="18"/>
  <c r="C90" i="18" s="1"/>
  <c r="C102" i="18" s="1"/>
  <c r="C114" i="18" s="1"/>
  <c r="C126" i="18" s="1"/>
  <c r="C138" i="18" s="1"/>
  <c r="C150" i="18" s="1"/>
  <c r="C162" i="18" s="1"/>
  <c r="D63" i="18"/>
  <c r="D75" i="18" s="1"/>
  <c r="C57" i="18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C78" i="18"/>
  <c r="C72" i="18"/>
  <c r="D45" i="18"/>
  <c r="C53" i="18"/>
  <c r="D54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I21" i="29" s="1"/>
  <c r="D34" i="29"/>
  <c r="D38" i="29"/>
  <c r="F35" i="29"/>
  <c r="I35" i="29" s="1"/>
  <c r="F33" i="29"/>
  <c r="I33" i="29" s="1"/>
  <c r="F32" i="29"/>
  <c r="I32" i="29" s="1"/>
  <c r="H38" i="29"/>
  <c r="F37" i="29"/>
  <c r="I37" i="29" s="1"/>
  <c r="E34" i="29"/>
  <c r="F24" i="29"/>
  <c r="I24" i="29" s="1"/>
  <c r="H34" i="29"/>
  <c r="F28" i="29"/>
  <c r="I28" i="29" s="1"/>
  <c r="F26" i="29"/>
  <c r="I26" i="29" s="1"/>
  <c r="C181" i="18"/>
  <c r="C193" i="18" s="1"/>
  <c r="C205" i="18" s="1"/>
  <c r="C169" i="18"/>
  <c r="C165" i="18"/>
  <c r="C167" i="18"/>
  <c r="C179" i="18"/>
  <c r="C191" i="18" s="1"/>
  <c r="C203" i="18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D173" i="18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P118" i="18" s="1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P132" i="18" s="1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55" i="18"/>
  <c r="P178" i="18"/>
  <c r="P25" i="18"/>
  <c r="P49" i="18"/>
  <c r="P73" i="18"/>
  <c r="D87" i="18" l="1"/>
  <c r="D99" i="18" s="1"/>
  <c r="D111" i="18" s="1"/>
  <c r="D123" i="18" s="1"/>
  <c r="D135" i="18" s="1"/>
  <c r="D147" i="18" s="1"/>
  <c r="D159" i="18" s="1"/>
  <c r="C69" i="18"/>
  <c r="H39" i="29"/>
  <c r="D86" i="18"/>
  <c r="D98" i="18" s="1"/>
  <c r="D110" i="18" s="1"/>
  <c r="D122" i="18" s="1"/>
  <c r="D134" i="18" s="1"/>
  <c r="D146" i="18" s="1"/>
  <c r="D158" i="18" s="1"/>
  <c r="D177" i="18"/>
  <c r="D189" i="18" s="1"/>
  <c r="D201" i="18" s="1"/>
  <c r="E39" i="29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F39" i="29" l="1"/>
  <c r="D170" i="18"/>
  <c r="D182" i="18"/>
  <c r="D194" i="18" s="1"/>
  <c r="D206" i="18" s="1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147" i="18"/>
  <c r="J147" i="18" s="1"/>
  <c r="L147" i="18" s="1"/>
  <c r="I62" i="18"/>
  <c r="J62" i="18" s="1"/>
  <c r="L62" i="18" s="1"/>
  <c r="I45" i="18"/>
  <c r="J45" i="18" s="1"/>
  <c r="L45" i="18" s="1"/>
  <c r="I117" i="18"/>
  <c r="J117" i="18" s="1"/>
  <c r="L117" i="18" s="1"/>
  <c r="I148" i="18"/>
  <c r="J148" i="18" s="1"/>
  <c r="L148" i="18" s="1"/>
  <c r="I74" i="18"/>
  <c r="J74" i="18" s="1"/>
  <c r="L74" i="18" s="1"/>
  <c r="I30" i="18"/>
  <c r="J30" i="18" s="1"/>
  <c r="L30" i="18" s="1"/>
  <c r="I129" i="18"/>
  <c r="J129" i="18" s="1"/>
  <c r="L129" i="18" s="1"/>
  <c r="I206" i="18"/>
  <c r="J206" i="18" s="1"/>
  <c r="L206" i="18" s="1"/>
  <c r="I166" i="18"/>
  <c r="J166" i="18" s="1"/>
  <c r="L166" i="18" s="1"/>
  <c r="I190" i="18"/>
  <c r="J190" i="18" s="1"/>
  <c r="L190" i="18" s="1"/>
  <c r="I80" i="18"/>
  <c r="J80" i="18" s="1"/>
  <c r="L80" i="18" s="1"/>
  <c r="I76" i="18"/>
  <c r="J76" i="18" s="1"/>
  <c r="L76" i="18" s="1"/>
  <c r="I187" i="18"/>
  <c r="J187" i="18" s="1"/>
  <c r="L187" i="18" s="1"/>
  <c r="I178" i="18"/>
  <c r="J178" i="18" s="1"/>
  <c r="L178" i="18" s="1"/>
  <c r="I26" i="18"/>
  <c r="J26" i="18" s="1"/>
  <c r="L26" i="18" s="1"/>
  <c r="I203" i="18"/>
  <c r="J203" i="18" s="1"/>
  <c r="L203" i="18" s="1"/>
  <c r="I156" i="18"/>
  <c r="J156" i="18" s="1"/>
  <c r="L156" i="18" s="1"/>
  <c r="I68" i="18"/>
  <c r="J68" i="18" s="1"/>
  <c r="L68" i="18" s="1"/>
  <c r="I51" i="18"/>
  <c r="J51" i="18" s="1"/>
  <c r="L51" i="18" s="1"/>
  <c r="I167" i="18"/>
  <c r="J167" i="18" s="1"/>
  <c r="L167" i="18" s="1"/>
  <c r="I158" i="18"/>
  <c r="J158" i="18" s="1"/>
  <c r="L158" i="18" s="1"/>
  <c r="I199" i="18"/>
  <c r="J199" i="18" s="1"/>
  <c r="L199" i="18" s="1"/>
  <c r="I24" i="18"/>
  <c r="J24" i="18" s="1"/>
  <c r="L24" i="18" s="1"/>
  <c r="I99" i="18"/>
  <c r="J99" i="18" s="1"/>
  <c r="L99" i="18" s="1"/>
  <c r="I143" i="18"/>
  <c r="J143" i="18" s="1"/>
  <c r="L143" i="18" s="1"/>
  <c r="I34" i="18"/>
  <c r="J34" i="18" s="1"/>
  <c r="L34" i="18" s="1"/>
  <c r="I123" i="18"/>
  <c r="J123" i="18" s="1"/>
  <c r="L123" i="18" s="1"/>
  <c r="I134" i="18"/>
  <c r="J134" i="18" s="1"/>
  <c r="L134" i="18" s="1"/>
  <c r="I176" i="18"/>
  <c r="J176" i="18" s="1"/>
  <c r="L176" i="18" s="1"/>
  <c r="I53" i="18"/>
  <c r="J53" i="18" s="1"/>
  <c r="L53" i="18" s="1"/>
  <c r="I186" i="18"/>
  <c r="J186" i="18" s="1"/>
  <c r="L186" i="18" s="1"/>
  <c r="I41" i="18"/>
  <c r="J41" i="18" s="1"/>
  <c r="L41" i="18" s="1"/>
  <c r="I146" i="18"/>
  <c r="J146" i="18" s="1"/>
  <c r="L146" i="18" s="1"/>
  <c r="I182" i="18"/>
  <c r="J182" i="18" s="1"/>
  <c r="L182" i="18" s="1"/>
  <c r="I161" i="18"/>
  <c r="J161" i="18" s="1"/>
  <c r="L161" i="18" s="1"/>
  <c r="I110" i="18"/>
  <c r="J110" i="18" s="1"/>
  <c r="L110" i="18" s="1"/>
  <c r="I93" i="18"/>
  <c r="J93" i="18" s="1"/>
  <c r="L93" i="18" s="1"/>
  <c r="I200" i="18"/>
  <c r="J200" i="18" s="1"/>
  <c r="L200" i="18" s="1"/>
  <c r="I195" i="18"/>
  <c r="J195" i="18" s="1"/>
  <c r="L195" i="18" s="1"/>
  <c r="I120" i="18"/>
  <c r="J120" i="18" s="1"/>
  <c r="L120" i="18" s="1"/>
  <c r="I144" i="18"/>
  <c r="J144" i="18" s="1"/>
  <c r="L144" i="18" s="1"/>
  <c r="I55" i="18"/>
  <c r="J55" i="18" s="1"/>
  <c r="L55" i="18" s="1"/>
  <c r="I165" i="18"/>
  <c r="J165" i="18" s="1"/>
  <c r="L165" i="18" s="1"/>
  <c r="I61" i="18"/>
  <c r="J61" i="18" s="1"/>
  <c r="L61" i="18" s="1"/>
  <c r="I173" i="18"/>
  <c r="J173" i="18" s="1"/>
  <c r="L173" i="18" s="1"/>
  <c r="I170" i="18"/>
  <c r="J170" i="18" s="1"/>
  <c r="L170" i="18" s="1"/>
  <c r="I103" i="18"/>
  <c r="J103" i="18" s="1"/>
  <c r="L103" i="18" s="1"/>
  <c r="I89" i="18"/>
  <c r="J89" i="18" s="1"/>
  <c r="L89" i="18" s="1"/>
  <c r="I112" i="18"/>
  <c r="J112" i="18" s="1"/>
  <c r="L112" i="18" s="1"/>
  <c r="I85" i="18"/>
  <c r="J85" i="18" s="1"/>
  <c r="L85" i="18" s="1"/>
  <c r="I44" i="18"/>
  <c r="J44" i="18" s="1"/>
  <c r="L44" i="18" s="1"/>
  <c r="I69" i="18"/>
  <c r="J69" i="18" s="1"/>
  <c r="L69" i="18" s="1"/>
  <c r="I163" i="18"/>
  <c r="J163" i="18" s="1"/>
  <c r="L163" i="18" s="1"/>
  <c r="I191" i="18"/>
  <c r="J191" i="18" s="1"/>
  <c r="L191" i="18" s="1"/>
  <c r="I21" i="18"/>
  <c r="J21" i="18" s="1"/>
  <c r="L21" i="18" s="1"/>
  <c r="I95" i="18"/>
  <c r="J95" i="18" s="1"/>
  <c r="L95" i="18" s="1"/>
  <c r="I138" i="18"/>
  <c r="J138" i="18" s="1"/>
  <c r="L138" i="18" s="1"/>
  <c r="I192" i="18"/>
  <c r="J192" i="18" s="1"/>
  <c r="L192" i="18" s="1"/>
  <c r="I86" i="18"/>
  <c r="J86" i="18" s="1"/>
  <c r="L86" i="18" s="1"/>
  <c r="I58" i="18"/>
  <c r="J58" i="18" s="1"/>
  <c r="L58" i="18" s="1"/>
  <c r="I193" i="18"/>
  <c r="J193" i="18" s="1"/>
  <c r="L193" i="18" s="1"/>
  <c r="I141" i="18"/>
  <c r="J141" i="18" s="1"/>
  <c r="L141" i="18" s="1"/>
  <c r="I109" i="18"/>
  <c r="J109" i="18" s="1"/>
  <c r="L109" i="18" s="1"/>
  <c r="I185" i="18"/>
  <c r="J185" i="18" s="1"/>
  <c r="L185" i="18" s="1"/>
  <c r="I164" i="18"/>
  <c r="J164" i="18" s="1"/>
  <c r="L164" i="18" s="1"/>
  <c r="I208" i="18"/>
  <c r="J208" i="18" s="1"/>
  <c r="L208" i="18" s="1"/>
  <c r="I111" i="18"/>
  <c r="J111" i="18" s="1"/>
  <c r="L111" i="18" s="1"/>
  <c r="I135" i="18"/>
  <c r="J135" i="18" s="1"/>
  <c r="L135" i="18" s="1"/>
  <c r="I142" i="18"/>
  <c r="J142" i="18" s="1"/>
  <c r="L142" i="18" s="1"/>
  <c r="I79" i="18"/>
  <c r="J79" i="18" s="1"/>
  <c r="L79" i="18" s="1"/>
  <c r="I127" i="18"/>
  <c r="J127" i="18" s="1"/>
  <c r="L127" i="18" s="1"/>
  <c r="I63" i="18"/>
  <c r="J63" i="18" s="1"/>
  <c r="L63" i="18" s="1"/>
  <c r="I209" i="18"/>
  <c r="J209" i="18" s="1"/>
  <c r="L209" i="18" s="1"/>
  <c r="I188" i="18"/>
  <c r="J188" i="18" s="1"/>
  <c r="L188" i="18" s="1"/>
  <c r="I38" i="18"/>
  <c r="J38" i="18" s="1"/>
  <c r="L38" i="18" s="1"/>
  <c r="I35" i="18"/>
  <c r="J35" i="18" s="1"/>
  <c r="L35" i="18" s="1"/>
  <c r="I168" i="18"/>
  <c r="J168" i="18" s="1"/>
  <c r="L168" i="18" s="1"/>
  <c r="I153" i="18"/>
  <c r="J153" i="18" s="1"/>
  <c r="L153" i="18" s="1"/>
  <c r="I116" i="18"/>
  <c r="J116" i="18" s="1"/>
  <c r="L116" i="18" s="1"/>
  <c r="I122" i="18"/>
  <c r="J122" i="18" s="1"/>
  <c r="L122" i="18" s="1"/>
  <c r="I78" i="18"/>
  <c r="J78" i="18" s="1"/>
  <c r="L78" i="18" s="1"/>
  <c r="I184" i="18"/>
  <c r="J184" i="18" s="1"/>
  <c r="L184" i="18" s="1"/>
  <c r="I56" i="18"/>
  <c r="J56" i="18" s="1"/>
  <c r="I171" i="18"/>
  <c r="J171" i="18" s="1"/>
  <c r="L171" i="18" s="1"/>
  <c r="I149" i="18"/>
  <c r="J149" i="18" s="1"/>
  <c r="L149" i="18" s="1"/>
  <c r="I105" i="18"/>
  <c r="J105" i="18" s="1"/>
  <c r="L105" i="18" s="1"/>
  <c r="F14" i="29"/>
  <c r="I54" i="18"/>
  <c r="J54" i="18" s="1"/>
  <c r="L54" i="18" s="1"/>
  <c r="I174" i="18"/>
  <c r="J174" i="18" s="1"/>
  <c r="L174" i="18" s="1"/>
  <c r="I33" i="18"/>
  <c r="J33" i="18" s="1"/>
  <c r="L33" i="18" s="1"/>
  <c r="I27" i="18"/>
  <c r="J27" i="18" s="1"/>
  <c r="L27" i="18" s="1"/>
  <c r="I94" i="18"/>
  <c r="J94" i="18" s="1"/>
  <c r="L94" i="18" s="1"/>
  <c r="I133" i="18"/>
  <c r="J133" i="18" s="1"/>
  <c r="L133" i="18" s="1"/>
  <c r="I154" i="18"/>
  <c r="J154" i="18" s="1"/>
  <c r="L154" i="18" s="1"/>
  <c r="I130" i="18"/>
  <c r="J130" i="18" s="1"/>
  <c r="L130" i="18" s="1"/>
  <c r="I189" i="18"/>
  <c r="J189" i="18" s="1"/>
  <c r="L189" i="18" s="1"/>
  <c r="I210" i="18"/>
  <c r="J210" i="18" s="1"/>
  <c r="L210" i="18" s="1"/>
  <c r="I137" i="18"/>
  <c r="J137" i="18" s="1"/>
  <c r="L137" i="18" s="1"/>
  <c r="I115" i="18"/>
  <c r="J115" i="18" s="1"/>
  <c r="L115" i="18" s="1"/>
  <c r="I126" i="18"/>
  <c r="J126" i="18" s="1"/>
  <c r="L126" i="18" s="1"/>
  <c r="I169" i="18"/>
  <c r="J169" i="18" s="1"/>
  <c r="L169" i="18" s="1"/>
  <c r="I152" i="18"/>
  <c r="J152" i="18" s="1"/>
  <c r="L152" i="18" s="1"/>
  <c r="I151" i="18"/>
  <c r="J151" i="18" s="1"/>
  <c r="L151" i="18" s="1"/>
  <c r="I181" i="18"/>
  <c r="J181" i="18" s="1"/>
  <c r="L181" i="18" s="1"/>
  <c r="I42" i="18"/>
  <c r="J42" i="18" s="1"/>
  <c r="L42" i="18" s="1"/>
  <c r="I36" i="18"/>
  <c r="J36" i="18" s="1"/>
  <c r="L36" i="18" s="1"/>
  <c r="I204" i="18"/>
  <c r="J204" i="18" s="1"/>
  <c r="L204" i="18" s="1"/>
  <c r="I88" i="18"/>
  <c r="J88" i="18" s="1"/>
  <c r="L88" i="18" s="1"/>
  <c r="I83" i="18"/>
  <c r="J83" i="18" s="1"/>
  <c r="L83" i="18" s="1"/>
  <c r="I102" i="18"/>
  <c r="J102" i="18" s="1"/>
  <c r="L102" i="18" s="1"/>
  <c r="I177" i="18"/>
  <c r="J177" i="18" s="1"/>
  <c r="L177" i="18" s="1"/>
  <c r="I32" i="18"/>
  <c r="J32" i="18" s="1"/>
  <c r="L32" i="18" s="1"/>
  <c r="I50" i="18"/>
  <c r="J50" i="18" s="1"/>
  <c r="L50" i="18" s="1"/>
  <c r="I101" i="18"/>
  <c r="J101" i="18" s="1"/>
  <c r="L101" i="18" s="1"/>
  <c r="I160" i="18"/>
  <c r="J160" i="18" s="1"/>
  <c r="L160" i="18" s="1"/>
  <c r="I104" i="18"/>
  <c r="J104" i="18" s="1"/>
  <c r="L104" i="18" s="1"/>
  <c r="I198" i="18"/>
  <c r="J198" i="18" s="1"/>
  <c r="L198" i="18" s="1"/>
  <c r="I205" i="18"/>
  <c r="J205" i="18" s="1"/>
  <c r="L205" i="18" s="1"/>
  <c r="I70" i="18"/>
  <c r="J70" i="18" s="1"/>
  <c r="L70" i="18" s="1"/>
  <c r="I155" i="18"/>
  <c r="J155" i="18" s="1"/>
  <c r="L155" i="18" s="1"/>
  <c r="I197" i="18"/>
  <c r="J197" i="18" s="1"/>
  <c r="L197" i="18" s="1"/>
  <c r="I91" i="18"/>
  <c r="J91" i="18" s="1"/>
  <c r="L91" i="18" s="1"/>
  <c r="I66" i="18"/>
  <c r="J66" i="18" s="1"/>
  <c r="L66" i="18" s="1"/>
  <c r="I71" i="18"/>
  <c r="J71" i="18" s="1"/>
  <c r="L71" i="18" s="1"/>
  <c r="I67" i="18"/>
  <c r="J67" i="18" s="1"/>
  <c r="L67" i="18" s="1"/>
  <c r="I47" i="18"/>
  <c r="J47" i="18" s="1"/>
  <c r="L47" i="18" s="1"/>
  <c r="I107" i="18"/>
  <c r="J107" i="18" s="1"/>
  <c r="L107" i="18" s="1"/>
  <c r="I96" i="18"/>
  <c r="J96" i="18" s="1"/>
  <c r="L96" i="18" s="1"/>
  <c r="I136" i="18"/>
  <c r="J136" i="18" s="1"/>
  <c r="L136" i="18" s="1"/>
  <c r="I77" i="18"/>
  <c r="J77" i="18" s="1"/>
  <c r="L77" i="18" s="1"/>
  <c r="I100" i="18"/>
  <c r="J100" i="18" s="1"/>
  <c r="L100" i="18" s="1"/>
  <c r="I113" i="18"/>
  <c r="J113" i="18" s="1"/>
  <c r="L113" i="18" s="1"/>
  <c r="I57" i="18"/>
  <c r="J57" i="18" s="1"/>
  <c r="L57" i="18" s="1"/>
  <c r="I125" i="18"/>
  <c r="J125" i="18" s="1"/>
  <c r="L125" i="18" s="1"/>
  <c r="I20" i="18"/>
  <c r="J20" i="18" s="1"/>
  <c r="I108" i="18"/>
  <c r="J108" i="18" s="1"/>
  <c r="L108" i="18" s="1"/>
  <c r="I52" i="18"/>
  <c r="J52" i="18" s="1"/>
  <c r="L52" i="18" s="1"/>
  <c r="I114" i="18"/>
  <c r="J114" i="18" s="1"/>
  <c r="L114" i="18" s="1"/>
  <c r="I43" i="18"/>
  <c r="J43" i="18" s="1"/>
  <c r="L43" i="18" s="1"/>
  <c r="I23" i="18"/>
  <c r="J23" i="18" s="1"/>
  <c r="L23" i="18" s="1"/>
  <c r="I159" i="18"/>
  <c r="J159" i="18" s="1"/>
  <c r="L159" i="18" s="1"/>
  <c r="I82" i="18"/>
  <c r="J82" i="18" s="1"/>
  <c r="L82" i="18" s="1"/>
  <c r="I46" i="18"/>
  <c r="J46" i="18" s="1"/>
  <c r="L46" i="18" s="1"/>
  <c r="I121" i="18"/>
  <c r="J121" i="18" s="1"/>
  <c r="L121" i="18" s="1"/>
  <c r="I180" i="18"/>
  <c r="J180" i="18" s="1"/>
  <c r="L180" i="18" s="1"/>
  <c r="I119" i="18"/>
  <c r="J119" i="18" s="1"/>
  <c r="L119" i="18" s="1"/>
  <c r="I139" i="18"/>
  <c r="J139" i="18" s="1"/>
  <c r="L139" i="18" s="1"/>
  <c r="I201" i="18"/>
  <c r="J201" i="18" s="1"/>
  <c r="L201" i="18" s="1"/>
  <c r="I73" i="18"/>
  <c r="J73" i="18" s="1"/>
  <c r="L73" i="18" s="1"/>
  <c r="I39" i="18"/>
  <c r="J39" i="18" s="1"/>
  <c r="L39" i="18" s="1"/>
  <c r="I207" i="18"/>
  <c r="J207" i="18" s="1"/>
  <c r="L207" i="18" s="1"/>
  <c r="I87" i="18"/>
  <c r="J87" i="18" s="1"/>
  <c r="L87" i="18" s="1"/>
  <c r="I37" i="18"/>
  <c r="J37" i="18" s="1"/>
  <c r="L37" i="18" s="1"/>
  <c r="I124" i="18"/>
  <c r="J124" i="18" s="1"/>
  <c r="L124" i="18" s="1"/>
  <c r="I211" i="18"/>
  <c r="J211" i="18" s="1"/>
  <c r="L211" i="18" s="1"/>
  <c r="I183" i="18"/>
  <c r="J183" i="18" s="1"/>
  <c r="L183" i="18" s="1"/>
  <c r="I150" i="18"/>
  <c r="J150" i="18" s="1"/>
  <c r="L150" i="18" s="1"/>
  <c r="I162" i="18"/>
  <c r="J162" i="18" s="1"/>
  <c r="L162" i="18" s="1"/>
  <c r="I31" i="18"/>
  <c r="J31" i="18" s="1"/>
  <c r="L31" i="18" s="1"/>
  <c r="I106" i="18"/>
  <c r="J106" i="18" s="1"/>
  <c r="L106" i="18" s="1"/>
  <c r="I132" i="18"/>
  <c r="J132" i="18" s="1"/>
  <c r="L132" i="18" s="1"/>
  <c r="I84" i="18"/>
  <c r="J84" i="18" s="1"/>
  <c r="L84" i="18" s="1"/>
  <c r="I140" i="18"/>
  <c r="J140" i="18" s="1"/>
  <c r="L140" i="18" s="1"/>
  <c r="I64" i="18"/>
  <c r="J64" i="18" s="1"/>
  <c r="L64" i="18" s="1"/>
  <c r="I131" i="18"/>
  <c r="J131" i="18" s="1"/>
  <c r="L131" i="18" s="1"/>
  <c r="I179" i="18"/>
  <c r="J179" i="18" s="1"/>
  <c r="L179" i="18" s="1"/>
  <c r="I175" i="18"/>
  <c r="J175" i="18" s="1"/>
  <c r="L175" i="18" s="1"/>
  <c r="I22" i="18"/>
  <c r="J22" i="18" s="1"/>
  <c r="L22" i="18" s="1"/>
  <c r="I40" i="18"/>
  <c r="J40" i="18" s="1"/>
  <c r="L40" i="18" s="1"/>
  <c r="I72" i="18"/>
  <c r="J72" i="18" s="1"/>
  <c r="L72" i="18" s="1"/>
  <c r="I98" i="18"/>
  <c r="J98" i="18" s="1"/>
  <c r="L98" i="18" s="1"/>
  <c r="I65" i="18"/>
  <c r="J65" i="18" s="1"/>
  <c r="L65" i="18" s="1"/>
  <c r="I118" i="18"/>
  <c r="J118" i="18" s="1"/>
  <c r="L118" i="18" s="1"/>
  <c r="I90" i="18"/>
  <c r="J90" i="18" s="1"/>
  <c r="L90" i="18" s="1"/>
  <c r="I60" i="18"/>
  <c r="J60" i="18" s="1"/>
  <c r="L60" i="18" s="1"/>
  <c r="I25" i="18"/>
  <c r="J25" i="18" s="1"/>
  <c r="L25" i="18" s="1"/>
  <c r="I202" i="18"/>
  <c r="J202" i="18" s="1"/>
  <c r="L202" i="18" s="1"/>
  <c r="I28" i="18"/>
  <c r="J28" i="18" s="1"/>
  <c r="L28" i="18" s="1"/>
  <c r="I48" i="18"/>
  <c r="J48" i="18" s="1"/>
  <c r="L48" i="18" s="1"/>
  <c r="I196" i="18"/>
  <c r="J196" i="18" s="1"/>
  <c r="L196" i="18" s="1"/>
  <c r="I145" i="18"/>
  <c r="J145" i="18" s="1"/>
  <c r="L145" i="18" s="1"/>
  <c r="I128" i="18"/>
  <c r="J128" i="18" s="1"/>
  <c r="L128" i="18" s="1"/>
  <c r="I75" i="18"/>
  <c r="J75" i="18" s="1"/>
  <c r="L75" i="18" s="1"/>
  <c r="I172" i="18"/>
  <c r="J172" i="18" s="1"/>
  <c r="L172" i="18" s="1"/>
  <c r="I97" i="18"/>
  <c r="J97" i="18" s="1"/>
  <c r="L97" i="18" s="1"/>
  <c r="I157" i="18"/>
  <c r="J157" i="18" s="1"/>
  <c r="L157" i="18" s="1"/>
  <c r="I194" i="18"/>
  <c r="J194" i="18" s="1"/>
  <c r="L194" i="18" s="1"/>
  <c r="I59" i="18"/>
  <c r="J59" i="18" s="1"/>
  <c r="L59" i="18" s="1"/>
  <c r="I49" i="18"/>
  <c r="J49" i="18" s="1"/>
  <c r="L49" i="18" s="1"/>
  <c r="I92" i="18"/>
  <c r="J92" i="18" s="1"/>
  <c r="L92" i="18" s="1"/>
  <c r="I29" i="18"/>
  <c r="J29" i="18" s="1"/>
  <c r="L29" i="18" s="1"/>
  <c r="L20" i="18" l="1"/>
  <c r="J212" i="18"/>
  <c r="J14" i="18"/>
  <c r="J13" i="18"/>
  <c r="L56" i="18"/>
  <c r="L13" i="18" l="1"/>
  <c r="L212" i="18"/>
  <c r="L14" i="18"/>
  <c r="M21" i="18" l="1"/>
  <c r="N21" i="18" s="1"/>
  <c r="R21" i="18" s="1"/>
  <c r="M97" i="18"/>
  <c r="N97" i="18" s="1"/>
  <c r="R97" i="18" s="1"/>
  <c r="M53" i="18"/>
  <c r="N53" i="18" s="1"/>
  <c r="R53" i="18" s="1"/>
  <c r="M83" i="18"/>
  <c r="N83" i="18" s="1"/>
  <c r="R83" i="18" s="1"/>
  <c r="M74" i="18"/>
  <c r="N74" i="18" s="1"/>
  <c r="R74" i="18" s="1"/>
  <c r="M80" i="18"/>
  <c r="N80" i="18" s="1"/>
  <c r="R80" i="18" s="1"/>
  <c r="M198" i="18"/>
  <c r="N198" i="18" s="1"/>
  <c r="R198" i="18" s="1"/>
  <c r="M42" i="18"/>
  <c r="N42" i="18" s="1"/>
  <c r="R42" i="18" s="1"/>
  <c r="M188" i="18"/>
  <c r="N188" i="18" s="1"/>
  <c r="R188" i="18" s="1"/>
  <c r="M51" i="18"/>
  <c r="N51" i="18" s="1"/>
  <c r="R51" i="18" s="1"/>
  <c r="M159" i="18"/>
  <c r="N159" i="18" s="1"/>
  <c r="R159" i="18" s="1"/>
  <c r="M111" i="18"/>
  <c r="N111" i="18" s="1"/>
  <c r="R111" i="18" s="1"/>
  <c r="M78" i="18"/>
  <c r="N78" i="18" s="1"/>
  <c r="R78" i="18" s="1"/>
  <c r="M199" i="18"/>
  <c r="N199" i="18" s="1"/>
  <c r="R199" i="18" s="1"/>
  <c r="M206" i="18"/>
  <c r="N206" i="18" s="1"/>
  <c r="R206" i="18" s="1"/>
  <c r="M91" i="18"/>
  <c r="N91" i="18" s="1"/>
  <c r="R91" i="18" s="1"/>
  <c r="M210" i="18"/>
  <c r="N210" i="18" s="1"/>
  <c r="R210" i="18" s="1"/>
  <c r="M58" i="18"/>
  <c r="N58" i="18" s="1"/>
  <c r="R58" i="18" s="1"/>
  <c r="M44" i="18"/>
  <c r="N44" i="18" s="1"/>
  <c r="R44" i="18" s="1"/>
  <c r="M190" i="18"/>
  <c r="N190" i="18" s="1"/>
  <c r="R190" i="18" s="1"/>
  <c r="M65" i="18"/>
  <c r="N65" i="18" s="1"/>
  <c r="R65" i="18" s="1"/>
  <c r="M171" i="18"/>
  <c r="N171" i="18" s="1"/>
  <c r="R171" i="18" s="1"/>
  <c r="M29" i="18"/>
  <c r="N29" i="18" s="1"/>
  <c r="R29" i="18" s="1"/>
  <c r="M87" i="18"/>
  <c r="N87" i="18" s="1"/>
  <c r="R87" i="18" s="1"/>
  <c r="M72" i="18"/>
  <c r="N72" i="18" s="1"/>
  <c r="R72" i="18" s="1"/>
  <c r="M122" i="18"/>
  <c r="N122" i="18" s="1"/>
  <c r="R122" i="18" s="1"/>
  <c r="M27" i="18"/>
  <c r="N27" i="18" s="1"/>
  <c r="R27" i="18" s="1"/>
  <c r="M168" i="18"/>
  <c r="N168" i="18" s="1"/>
  <c r="R168" i="18" s="1"/>
  <c r="M136" i="18"/>
  <c r="N136" i="18" s="1"/>
  <c r="R136" i="18" s="1"/>
  <c r="M131" i="18"/>
  <c r="N131" i="18" s="1"/>
  <c r="R131" i="18" s="1"/>
  <c r="M105" i="18"/>
  <c r="N105" i="18" s="1"/>
  <c r="R105" i="18" s="1"/>
  <c r="M123" i="18"/>
  <c r="N123" i="18" s="1"/>
  <c r="R123" i="18" s="1"/>
  <c r="M103" i="18"/>
  <c r="N103" i="18" s="1"/>
  <c r="R103" i="18" s="1"/>
  <c r="M119" i="18"/>
  <c r="N119" i="18" s="1"/>
  <c r="R119" i="18" s="1"/>
  <c r="M24" i="18"/>
  <c r="N24" i="18" s="1"/>
  <c r="R24" i="18" s="1"/>
  <c r="M191" i="18"/>
  <c r="N191" i="18" s="1"/>
  <c r="R191" i="18" s="1"/>
  <c r="M189" i="18"/>
  <c r="N189" i="18" s="1"/>
  <c r="R189" i="18" s="1"/>
  <c r="M211" i="18"/>
  <c r="N211" i="18" s="1"/>
  <c r="R211" i="18" s="1"/>
  <c r="M60" i="18"/>
  <c r="N60" i="18" s="1"/>
  <c r="R60" i="18" s="1"/>
  <c r="M69" i="18"/>
  <c r="N69" i="18" s="1"/>
  <c r="R69" i="18" s="1"/>
  <c r="M178" i="18"/>
  <c r="N178" i="18" s="1"/>
  <c r="R178" i="18" s="1"/>
  <c r="M113" i="18"/>
  <c r="N113" i="18" s="1"/>
  <c r="R113" i="18" s="1"/>
  <c r="M56" i="18"/>
  <c r="M207" i="18"/>
  <c r="N207" i="18" s="1"/>
  <c r="R207" i="18" s="1"/>
  <c r="M208" i="18"/>
  <c r="N208" i="18" s="1"/>
  <c r="R208" i="18" s="1"/>
  <c r="M194" i="18"/>
  <c r="N194" i="18" s="1"/>
  <c r="R194" i="18" s="1"/>
  <c r="M174" i="18"/>
  <c r="N174" i="18" s="1"/>
  <c r="R174" i="18" s="1"/>
  <c r="M33" i="18"/>
  <c r="N33" i="18" s="1"/>
  <c r="R33" i="18" s="1"/>
  <c r="M102" i="18"/>
  <c r="N102" i="18" s="1"/>
  <c r="R102" i="18" s="1"/>
  <c r="M88" i="18"/>
  <c r="N88" i="18" s="1"/>
  <c r="R88" i="18" s="1"/>
  <c r="M67" i="18"/>
  <c r="N67" i="18" s="1"/>
  <c r="R67" i="18" s="1"/>
  <c r="M197" i="18"/>
  <c r="N197" i="18" s="1"/>
  <c r="R197" i="18" s="1"/>
  <c r="M81" i="18"/>
  <c r="N81" i="18" s="1"/>
  <c r="R81" i="18" s="1"/>
  <c r="M138" i="18"/>
  <c r="N138" i="18" s="1"/>
  <c r="R138" i="18" s="1"/>
  <c r="M161" i="18"/>
  <c r="N161" i="18" s="1"/>
  <c r="R161" i="18" s="1"/>
  <c r="M89" i="18"/>
  <c r="N89" i="18" s="1"/>
  <c r="R89" i="18" s="1"/>
  <c r="M205" i="18"/>
  <c r="N205" i="18" s="1"/>
  <c r="R205" i="18" s="1"/>
  <c r="M76" i="18"/>
  <c r="N76" i="18" s="1"/>
  <c r="R76" i="18" s="1"/>
  <c r="M184" i="18"/>
  <c r="N184" i="18" s="1"/>
  <c r="R184" i="18" s="1"/>
  <c r="M84" i="18"/>
  <c r="N84" i="18" s="1"/>
  <c r="R84" i="18" s="1"/>
  <c r="M117" i="18"/>
  <c r="N117" i="18" s="1"/>
  <c r="R117" i="18" s="1"/>
  <c r="M70" i="18"/>
  <c r="N70" i="18" s="1"/>
  <c r="R70" i="18" s="1"/>
  <c r="M62" i="18"/>
  <c r="N62" i="18" s="1"/>
  <c r="R62" i="18" s="1"/>
  <c r="M46" i="18"/>
  <c r="N46" i="18" s="1"/>
  <c r="R46" i="18" s="1"/>
  <c r="M93" i="18"/>
  <c r="N93" i="18" s="1"/>
  <c r="R93" i="18" s="1"/>
  <c r="M26" i="18"/>
  <c r="N26" i="18" s="1"/>
  <c r="R26" i="18" s="1"/>
  <c r="M30" i="18"/>
  <c r="N30" i="18" s="1"/>
  <c r="R30" i="18" s="1"/>
  <c r="M193" i="18"/>
  <c r="N193" i="18" s="1"/>
  <c r="R193" i="18" s="1"/>
  <c r="M108" i="18"/>
  <c r="N108" i="18" s="1"/>
  <c r="R108" i="18" s="1"/>
  <c r="M166" i="18"/>
  <c r="N166" i="18" s="1"/>
  <c r="R166" i="18" s="1"/>
  <c r="M128" i="18"/>
  <c r="N128" i="18" s="1"/>
  <c r="R128" i="18" s="1"/>
  <c r="M152" i="18"/>
  <c r="N152" i="18" s="1"/>
  <c r="R152" i="18" s="1"/>
  <c r="M95" i="18"/>
  <c r="N95" i="18" s="1"/>
  <c r="R95" i="18" s="1"/>
  <c r="M150" i="18"/>
  <c r="N150" i="18" s="1"/>
  <c r="R150" i="18" s="1"/>
  <c r="M86" i="18"/>
  <c r="N86" i="18" s="1"/>
  <c r="R86" i="18" s="1"/>
  <c r="M90" i="18"/>
  <c r="N90" i="18" s="1"/>
  <c r="R90" i="18" s="1"/>
  <c r="M181" i="18"/>
  <c r="N181" i="18" s="1"/>
  <c r="R181" i="18" s="1"/>
  <c r="M132" i="18"/>
  <c r="N132" i="18" s="1"/>
  <c r="R132" i="18" s="1"/>
  <c r="M148" i="18"/>
  <c r="N148" i="18" s="1"/>
  <c r="R148" i="18" s="1"/>
  <c r="M22" i="18"/>
  <c r="N22" i="18" s="1"/>
  <c r="R22" i="18" s="1"/>
  <c r="M172" i="18"/>
  <c r="N172" i="18" s="1"/>
  <c r="R172" i="18" s="1"/>
  <c r="M32" i="18"/>
  <c r="N32" i="18" s="1"/>
  <c r="R32" i="18" s="1"/>
  <c r="M135" i="18"/>
  <c r="N135" i="18" s="1"/>
  <c r="R135" i="18" s="1"/>
  <c r="M114" i="18"/>
  <c r="N114" i="18" s="1"/>
  <c r="R114" i="18" s="1"/>
  <c r="M115" i="18"/>
  <c r="N115" i="18" s="1"/>
  <c r="R115" i="18" s="1"/>
  <c r="M125" i="18"/>
  <c r="N125" i="18" s="1"/>
  <c r="R125" i="18" s="1"/>
  <c r="M28" i="18"/>
  <c r="N28" i="18" s="1"/>
  <c r="R28" i="18" s="1"/>
  <c r="M47" i="18"/>
  <c r="N47" i="18" s="1"/>
  <c r="R47" i="18" s="1"/>
  <c r="M176" i="18"/>
  <c r="N176" i="18" s="1"/>
  <c r="R176" i="18" s="1"/>
  <c r="M50" i="18"/>
  <c r="N50" i="18" s="1"/>
  <c r="R50" i="18" s="1"/>
  <c r="M35" i="18"/>
  <c r="N35" i="18" s="1"/>
  <c r="R35" i="18" s="1"/>
  <c r="M196" i="18"/>
  <c r="N196" i="18" s="1"/>
  <c r="R196" i="18" s="1"/>
  <c r="M173" i="18"/>
  <c r="N173" i="18" s="1"/>
  <c r="R173" i="18" s="1"/>
  <c r="M100" i="18"/>
  <c r="N100" i="18" s="1"/>
  <c r="R100" i="18" s="1"/>
  <c r="M68" i="18"/>
  <c r="N68" i="18" s="1"/>
  <c r="R68" i="18" s="1"/>
  <c r="M143" i="18"/>
  <c r="N143" i="18" s="1"/>
  <c r="R143" i="18" s="1"/>
  <c r="M75" i="18"/>
  <c r="N75" i="18" s="1"/>
  <c r="R75" i="18" s="1"/>
  <c r="M167" i="18"/>
  <c r="N167" i="18" s="1"/>
  <c r="R167" i="18" s="1"/>
  <c r="M139" i="18"/>
  <c r="N139" i="18" s="1"/>
  <c r="R139" i="18" s="1"/>
  <c r="M43" i="18"/>
  <c r="N43" i="18" s="1"/>
  <c r="R43" i="18" s="1"/>
  <c r="M187" i="18"/>
  <c r="N187" i="18" s="1"/>
  <c r="R187" i="18" s="1"/>
  <c r="M149" i="18"/>
  <c r="N149" i="18" s="1"/>
  <c r="R149" i="18" s="1"/>
  <c r="M112" i="18"/>
  <c r="N112" i="18" s="1"/>
  <c r="R112" i="18" s="1"/>
  <c r="M61" i="18"/>
  <c r="N61" i="18" s="1"/>
  <c r="R61" i="18" s="1"/>
  <c r="M141" i="18"/>
  <c r="N141" i="18" s="1"/>
  <c r="R141" i="18" s="1"/>
  <c r="M203" i="18"/>
  <c r="N203" i="18" s="1"/>
  <c r="R203" i="18" s="1"/>
  <c r="M55" i="18"/>
  <c r="N55" i="18" s="1"/>
  <c r="R55" i="18" s="1"/>
  <c r="M209" i="18"/>
  <c r="N209" i="18" s="1"/>
  <c r="R209" i="18" s="1"/>
  <c r="M163" i="18"/>
  <c r="N163" i="18" s="1"/>
  <c r="R163" i="18" s="1"/>
  <c r="M73" i="18"/>
  <c r="N73" i="18" s="1"/>
  <c r="R73" i="18" s="1"/>
  <c r="M155" i="18"/>
  <c r="N155" i="18" s="1"/>
  <c r="R155" i="18" s="1"/>
  <c r="M164" i="18"/>
  <c r="N164" i="18" s="1"/>
  <c r="R164" i="18" s="1"/>
  <c r="M64" i="18"/>
  <c r="N64" i="18" s="1"/>
  <c r="R64" i="18" s="1"/>
  <c r="M94" i="18"/>
  <c r="N94" i="18" s="1"/>
  <c r="R94" i="18" s="1"/>
  <c r="M156" i="18"/>
  <c r="N156" i="18" s="1"/>
  <c r="R156" i="18" s="1"/>
  <c r="M126" i="18"/>
  <c r="N126" i="18" s="1"/>
  <c r="R126" i="18" s="1"/>
  <c r="M200" i="18"/>
  <c r="N200" i="18" s="1"/>
  <c r="R200" i="18" s="1"/>
  <c r="M116" i="18"/>
  <c r="N116" i="18" s="1"/>
  <c r="R116" i="18" s="1"/>
  <c r="M204" i="18"/>
  <c r="N204" i="18" s="1"/>
  <c r="R204" i="18" s="1"/>
  <c r="M79" i="18"/>
  <c r="N79" i="18" s="1"/>
  <c r="R79" i="18" s="1"/>
  <c r="M85" i="18"/>
  <c r="N85" i="18" s="1"/>
  <c r="R85" i="18" s="1"/>
  <c r="M162" i="18"/>
  <c r="N162" i="18" s="1"/>
  <c r="R162" i="18" s="1"/>
  <c r="M104" i="18"/>
  <c r="N104" i="18" s="1"/>
  <c r="R104" i="18" s="1"/>
  <c r="M59" i="18"/>
  <c r="N59" i="18" s="1"/>
  <c r="R59" i="18" s="1"/>
  <c r="M52" i="18"/>
  <c r="N52" i="18" s="1"/>
  <c r="R52" i="18" s="1"/>
  <c r="M134" i="18"/>
  <c r="N134" i="18" s="1"/>
  <c r="R134" i="18" s="1"/>
  <c r="M66" i="18"/>
  <c r="N66" i="18" s="1"/>
  <c r="R66" i="18" s="1"/>
  <c r="M41" i="18"/>
  <c r="N41" i="18" s="1"/>
  <c r="R41" i="18" s="1"/>
  <c r="M23" i="18"/>
  <c r="N23" i="18" s="1"/>
  <c r="R23" i="18" s="1"/>
  <c r="M37" i="18"/>
  <c r="N37" i="18" s="1"/>
  <c r="R37" i="18" s="1"/>
  <c r="M109" i="18"/>
  <c r="N109" i="18" s="1"/>
  <c r="R109" i="18" s="1"/>
  <c r="M36" i="18"/>
  <c r="N36" i="18" s="1"/>
  <c r="R36" i="18" s="1"/>
  <c r="M202" i="18"/>
  <c r="N202" i="18" s="1"/>
  <c r="R202" i="18" s="1"/>
  <c r="M98" i="18"/>
  <c r="N98" i="18" s="1"/>
  <c r="R98" i="18" s="1"/>
  <c r="M137" i="18"/>
  <c r="N137" i="18" s="1"/>
  <c r="R137" i="18" s="1"/>
  <c r="M195" i="18"/>
  <c r="N195" i="18" s="1"/>
  <c r="R195" i="18" s="1"/>
  <c r="M185" i="18"/>
  <c r="N185" i="18" s="1"/>
  <c r="R185" i="18" s="1"/>
  <c r="M96" i="18"/>
  <c r="N96" i="18" s="1"/>
  <c r="R96" i="18" s="1"/>
  <c r="M20" i="18"/>
  <c r="M110" i="18"/>
  <c r="N110" i="18" s="1"/>
  <c r="R110" i="18" s="1"/>
  <c r="M63" i="18"/>
  <c r="N63" i="18" s="1"/>
  <c r="R63" i="18" s="1"/>
  <c r="M106" i="18"/>
  <c r="N106" i="18" s="1"/>
  <c r="R106" i="18" s="1"/>
  <c r="M39" i="18"/>
  <c r="N39" i="18" s="1"/>
  <c r="R39" i="18" s="1"/>
  <c r="M40" i="18"/>
  <c r="N40" i="18" s="1"/>
  <c r="R40" i="18" s="1"/>
  <c r="M201" i="18"/>
  <c r="N201" i="18" s="1"/>
  <c r="R201" i="18" s="1"/>
  <c r="M121" i="18"/>
  <c r="N121" i="18" s="1"/>
  <c r="R121" i="18" s="1"/>
  <c r="M34" i="18"/>
  <c r="N34" i="18" s="1"/>
  <c r="R34" i="18" s="1"/>
  <c r="M99" i="18"/>
  <c r="N99" i="18" s="1"/>
  <c r="R99" i="18" s="1"/>
  <c r="M120" i="18"/>
  <c r="N120" i="18" s="1"/>
  <c r="R120" i="18" s="1"/>
  <c r="M157" i="18"/>
  <c r="N157" i="18" s="1"/>
  <c r="R157" i="18" s="1"/>
  <c r="M154" i="18"/>
  <c r="N154" i="18" s="1"/>
  <c r="R154" i="18" s="1"/>
  <c r="M25" i="18"/>
  <c r="N25" i="18" s="1"/>
  <c r="R25" i="18" s="1"/>
  <c r="M160" i="18"/>
  <c r="N160" i="18" s="1"/>
  <c r="R160" i="18" s="1"/>
  <c r="M170" i="18"/>
  <c r="N170" i="18" s="1"/>
  <c r="R170" i="18" s="1"/>
  <c r="M146" i="18"/>
  <c r="N146" i="18" s="1"/>
  <c r="R146" i="18" s="1"/>
  <c r="M31" i="18"/>
  <c r="N31" i="18" s="1"/>
  <c r="R31" i="18" s="1"/>
  <c r="M48" i="18"/>
  <c r="N48" i="18" s="1"/>
  <c r="R48" i="18" s="1"/>
  <c r="M182" i="18"/>
  <c r="N182" i="18" s="1"/>
  <c r="R182" i="18" s="1"/>
  <c r="M142" i="18"/>
  <c r="N142" i="18" s="1"/>
  <c r="R142" i="18" s="1"/>
  <c r="M101" i="18"/>
  <c r="N101" i="18" s="1"/>
  <c r="R101" i="18" s="1"/>
  <c r="M57" i="18"/>
  <c r="N57" i="18" s="1"/>
  <c r="R57" i="18" s="1"/>
  <c r="M54" i="18"/>
  <c r="N54" i="18" s="1"/>
  <c r="R54" i="18" s="1"/>
  <c r="M118" i="18"/>
  <c r="N118" i="18" s="1"/>
  <c r="R118" i="18" s="1"/>
  <c r="M124" i="18"/>
  <c r="N124" i="18" s="1"/>
  <c r="R124" i="18" s="1"/>
  <c r="M192" i="18"/>
  <c r="N192" i="18" s="1"/>
  <c r="R192" i="18" s="1"/>
  <c r="M38" i="18"/>
  <c r="N38" i="18" s="1"/>
  <c r="R38" i="18" s="1"/>
  <c r="M145" i="18"/>
  <c r="N145" i="18" s="1"/>
  <c r="R145" i="18" s="1"/>
  <c r="M82" i="18"/>
  <c r="N82" i="18" s="1"/>
  <c r="R82" i="18" s="1"/>
  <c r="M92" i="18"/>
  <c r="N92" i="18" s="1"/>
  <c r="R92" i="18" s="1"/>
  <c r="M133" i="18"/>
  <c r="N133" i="18" s="1"/>
  <c r="R133" i="18" s="1"/>
  <c r="M144" i="18"/>
  <c r="N144" i="18" s="1"/>
  <c r="R144" i="18" s="1"/>
  <c r="M45" i="18"/>
  <c r="N45" i="18" s="1"/>
  <c r="R45" i="18" s="1"/>
  <c r="M186" i="18"/>
  <c r="N186" i="18" s="1"/>
  <c r="R186" i="18" s="1"/>
  <c r="M183" i="18"/>
  <c r="N183" i="18" s="1"/>
  <c r="R183" i="18" s="1"/>
  <c r="M49" i="18"/>
  <c r="N49" i="18" s="1"/>
  <c r="R49" i="18" s="1"/>
  <c r="M140" i="18"/>
  <c r="N140" i="18" s="1"/>
  <c r="R140" i="18" s="1"/>
  <c r="M151" i="18"/>
  <c r="N151" i="18" s="1"/>
  <c r="R151" i="18" s="1"/>
  <c r="M127" i="18"/>
  <c r="N127" i="18" s="1"/>
  <c r="R127" i="18" s="1"/>
  <c r="M107" i="18"/>
  <c r="N107" i="18" s="1"/>
  <c r="R107" i="18" s="1"/>
  <c r="M71" i="18"/>
  <c r="N71" i="18" s="1"/>
  <c r="R71" i="18" s="1"/>
  <c r="M147" i="18"/>
  <c r="N147" i="18" s="1"/>
  <c r="R147" i="18" s="1"/>
  <c r="M153" i="18"/>
  <c r="N153" i="18" s="1"/>
  <c r="R153" i="18" s="1"/>
  <c r="M165" i="18"/>
  <c r="N165" i="18" s="1"/>
  <c r="R165" i="18" s="1"/>
  <c r="M175" i="18"/>
  <c r="N175" i="18" s="1"/>
  <c r="R175" i="18" s="1"/>
  <c r="M169" i="18"/>
  <c r="N169" i="18" s="1"/>
  <c r="R169" i="18" s="1"/>
  <c r="M130" i="18"/>
  <c r="N130" i="18" s="1"/>
  <c r="R130" i="18" s="1"/>
  <c r="M77" i="18"/>
  <c r="N77" i="18" s="1"/>
  <c r="R77" i="18" s="1"/>
  <c r="M180" i="18"/>
  <c r="N180" i="18" s="1"/>
  <c r="R180" i="18" s="1"/>
  <c r="M179" i="18"/>
  <c r="N179" i="18" s="1"/>
  <c r="R179" i="18" s="1"/>
  <c r="M158" i="18"/>
  <c r="N158" i="18" s="1"/>
  <c r="R158" i="18" s="1"/>
  <c r="M177" i="18"/>
  <c r="N177" i="18" s="1"/>
  <c r="R177" i="18" s="1"/>
  <c r="M129" i="18"/>
  <c r="N129" i="18" s="1"/>
  <c r="R129" i="18" s="1"/>
  <c r="M212" i="18" l="1"/>
  <c r="N20" i="18"/>
  <c r="M13" i="18"/>
  <c r="N56" i="18"/>
  <c r="R56" i="18" l="1"/>
  <c r="R13" i="18" s="1"/>
  <c r="N13" i="18"/>
  <c r="N14" i="18"/>
  <c r="R20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<sst xmlns="http://schemas.openxmlformats.org/spreadsheetml/2006/main" count="442" uniqueCount="106">
  <si>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</si>
  <si>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</si>
  <si>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</si>
  <si>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</si>
  <si>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</si>
  <si>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</si>
  <si>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</si>
  <si>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</si>
  <si>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</si>
  <si>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</si>
  <si>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</si>
  <si>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</si>
  <si>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</si>
  <si>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</si>
  <si>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</si>
  <si>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</si>
  <si>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</si>
  <si>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</si>
  <si>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</si>
  <si>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</si>
  <si>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</si>
  <si>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</si>
  <si>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</si>
  <si>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</si>
  <si>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</si>
  <si>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</si>
  <si>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</si>
  <si>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</si>
  <si>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</si>
  <si>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</si>
  <si>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</si>
  <si>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</si>
  <si>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</si>
  <si>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</si>
  <si>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</si>
  <si>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</si>
  <si>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</si>
  <si>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</si>
  <si>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</si>
  <si>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</si>
  <si>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</si>
  <si>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</si>
  <si>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</si>
  <si>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</si>
  <si>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</si>
  <si>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</si>
  <si>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</si>
  <si>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</si>
  <si>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</si>
  <si>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</si>
  <si>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</si>
  <si>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</si>
  <si>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</si>
  <si>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</si>
  <si>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</si>
  <si>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</si>
  <si>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</si>
  <si>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</si>
  <si>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</si>
  <si>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</si>
  <si>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</si>
  <si>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</si>
  <si>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</si>
  <si>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</si>
  <si>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</si>
  <si>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</si>
  <si>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</si>
  <si>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</si>
  <si>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</si>
  <si>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</si>
  <si>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</si>
  <si>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</si>
  <si>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</si>
  <si>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</si>
  <si>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</si>
  <si>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</si>
  <si>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</si>
  <si>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</si>
  <si>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</si>
  <si>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</si>
  <si>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</si>
  <si>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</si>
  <si>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</si>
  <si>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</si>
  <si>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</si>
  <si>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</si>
  <si>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</si>
  <si>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</si>
  <si>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</si>
  <si>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</si>
  <si>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</si>
  <si>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</si>
  <si>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</si>
  <si>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</si>
  <si>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</si>
  <si>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</si>
  <si>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</si>
  <si>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</si>
  <si>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</si>
  <si>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2021 True Up Including Interest</t>
  </si>
  <si>
    <t>Total</t>
  </si>
  <si>
    <t>OKT</t>
  </si>
  <si>
    <t>SWT</t>
  </si>
  <si>
    <t>2021 Formal Challenge Refund with Interest</t>
  </si>
  <si>
    <t>2021 NOLC Refund Amount with Interest (NITS)</t>
  </si>
  <si>
    <t>2021 Load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</si>
</sst>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  <numFmt numFmtId="169" formatCode="0E+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44" fontId="0" fillId="0" borderId="0" xfId="0" applyNumberFormat="1" applyProtection="1"/>
    <xf numFmtId="9" fontId="0" fillId="0" borderId="0" xfId="4" applyNumberFormat="1" applyFont="1" applyProtection="1"/>
    <xf numFmtId="169" fontId="0" fillId="0" borderId="0" xfId="0" applyNumberFormat="1" applyProtection="1"/>
    <xf numFmtId="167" fontId="7" fillId="6" borderId="0" xfId="0" applyNumberFormat="1" applyFont="1" applyFill="1" applyBorder="1" applyAlignment="1" applyProtection="1">
      <alignment horizontal="right"/>
    </xf>
    <xf numFmtId="164" fontId="7" fillId="6" borderId="0" xfId="0" applyNumberFormat="1" applyFont="1" applyFill="1" applyBorder="1" applyAlignment="1" applyProtection="1">
      <alignment horizontal="right"/>
    </xf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47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48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48" xfId="5" applyBorder="1"/>
    <xf numFmtId="0" fontId="1" fillId="0" borderId="49" xfId="5" applyBorder="1"/>
    <xf numFmtId="0" fontId="9" fillId="3" borderId="50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51" xfId="5" quotePrefix="1" applyBorder="1" applyAlignment="1">
      <alignment horizontal="left"/>
    </xf>
    <xf numFmtId="0" fontId="9" fillId="3" borderId="23" xfId="5" quotePrefix="1" applyFont="1" applyFill="1" applyBorder="1" applyAlignment="1">
      <alignment horizontal="left" vertical="center" wrapText="1"/>
    </xf>
    <xf numFmtId="37" fontId="9" fillId="3" borderId="23" xfId="5" quotePrefix="1" applyNumberFormat="1" applyFont="1" applyFill="1" applyBorder="1" applyAlignment="1">
      <alignment vertical="center" wrapText="1"/>
    </xf>
    <xf numFmtId="0" fontId="9" fillId="0" borderId="52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0" fillId="0" borderId="0" xfId="0" applyAlignment="1">
      <alignment horizont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10E26044-48CC-47B9-A04E-4B6C290B79BA}"/>
    <cellStyle name="Currency" xfId="2" builtinId="4"/>
    <cellStyle name="Normal" xfId="0" builtinId="0"/>
    <cellStyle name="Normal 2" xfId="3" xr:uid="{00000000-0005-0000-0000-000003000000}"/>
    <cellStyle name="Normal 3" xfId="5" xr:uid="{A0772DD8-57D0-449E-86D3-0F468C05B104}"/>
    <cellStyle name="Percent" xfId="4" builtinId="5"/>
    <cellStyle name="Percent 2" xfId="7" xr:uid="{C7953636-823C-42AB-B200-87D0CEA2420E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0648298611" createdVersion="6" refreshedVersion="8" recordCount="192" xr:uid="{00000000-000A-0000-FFFF-FFFFA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1391.1942737059592" maxValue="1391.1942737059592"/>
    </cacheField>
    <cacheField name="Actual True-Up Rate" numFmtId="164">
      <sharedItems containsSemiMixedTypes="0" containsString="0" containsNumber="1" minValue="1371.0212071439194" maxValue="1371.0212071439194"/>
    </cacheField>
    <cacheField name="True-Up Charge" numFmtId="164">
      <sharedItems containsSemiMixedTypes="0" containsString="0" containsNumber="1" minValue="1371.0212071439194" maxValue="5847405.4484688165"/>
    </cacheField>
    <cacheField name="Invoiced*** Charge (proj.)" numFmtId="164">
      <sharedItems containsSemiMixedTypes="0" containsString="0" containsNumber="1" minValue="1391.1942737059592" maxValue="5933443.5773559157"/>
    </cacheField>
    <cacheField name="True-Up w/o Interest" numFmtId="164">
      <sharedItems containsSemiMixedTypes="0" containsString="0" containsNumber="1" minValue="-86038.128887099214" maxValue="-20.173066562039821"/>
    </cacheField>
    <cacheField name="Interest" numFmtId="164">
      <sharedItems containsSemiMixedTypes="0" containsString="0" containsNumber="1" minValue="-7051.9150402938876" maxValue="-1.653438461968086"/>
    </cacheField>
    <cacheField name="2021 True Up Including Interest" numFmtId="164">
      <sharedItems containsSemiMixedTypes="0" containsString="0" containsNumber="1" minValue="-93090.043927393097" maxValue="-21.826505024007908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93090.043927393097" maxValue="-21.8265050240079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1391.1942737059592"/>
    <n v="1371.0212071439194"/>
    <n v="3852569.5920744133"/>
    <n v="3909255.9091137452"/>
    <n v="-56686.317039331887"/>
    <n v="-4646.1620781303218"/>
    <n v="-61332.479117462208"/>
    <n v="0"/>
    <n v="0"/>
    <n v="0"/>
    <n v="-61332.479117462208"/>
  </r>
  <r>
    <x v="1"/>
    <d v="2023-03-03T00:00:00"/>
    <d v="2023-03-24T00:00:00"/>
    <x v="0"/>
    <n v="9"/>
    <n v="2771"/>
    <n v="1391.1942737059592"/>
    <n v="1371.0212071439194"/>
    <n v="3799099.7649958003"/>
    <n v="3854999.3324392131"/>
    <n v="-55899.567443412729"/>
    <n v="-4581.6779781135665"/>
    <n v="-60481.245421526299"/>
    <n v="0"/>
    <n v="0"/>
    <n v="0"/>
    <n v="-60481.245421526299"/>
  </r>
  <r>
    <x v="2"/>
    <d v="2023-04-05T00:00:00"/>
    <d v="2023-04-24T00:00:00"/>
    <x v="0"/>
    <n v="9"/>
    <n v="2389"/>
    <n v="1391.1942737059592"/>
    <n v="1371.0212071439194"/>
    <n v="3275369.6638668235"/>
    <n v="3323563.1198835364"/>
    <n v="-48193.456016712822"/>
    <n v="-3950.064485641758"/>
    <n v="-52143.520502354579"/>
    <n v="0"/>
    <n v="0"/>
    <n v="0"/>
    <n v="-52143.520502354579"/>
  </r>
  <r>
    <x v="3"/>
    <d v="2023-05-03T00:00:00"/>
    <d v="2023-05-24T00:00:00"/>
    <x v="0"/>
    <n v="9"/>
    <n v="2392"/>
    <n v="1391.1942737059592"/>
    <n v="1371.0212071439194"/>
    <n v="3279482.7274882551"/>
    <n v="3327736.7027046545"/>
    <n v="-48253.975216399413"/>
    <n v="-3955.0248010276623"/>
    <n v="-52209.000017427075"/>
    <n v="0"/>
    <n v="0"/>
    <n v="0"/>
    <n v="-52209.000017427075"/>
  </r>
  <r>
    <x v="4"/>
    <d v="2023-06-05T00:00:00"/>
    <d v="2023-06-26T00:00:00"/>
    <x v="0"/>
    <n v="9"/>
    <n v="3231"/>
    <n v="1391.1942737059592"/>
    <n v="1371.0212071439194"/>
    <n v="4429769.5202820031"/>
    <n v="4494948.698343954"/>
    <n v="-65179.178061950952"/>
    <n v="-5342.259670618886"/>
    <n v="-70521.437732569844"/>
    <n v="0"/>
    <n v="0"/>
    <n v="0"/>
    <n v="-70521.437732569844"/>
  </r>
  <r>
    <x v="5"/>
    <d v="2023-07-05T00:00:00"/>
    <d v="2023-07-24T00:00:00"/>
    <x v="0"/>
    <n v="9"/>
    <n v="4100"/>
    <n v="1391.1942737059592"/>
    <n v="1371.0212071439194"/>
    <n v="5621186.9492900698"/>
    <n v="5703896.522194433"/>
    <n v="-82709.572904363275"/>
    <n v="-6779.0976940691535"/>
    <n v="-89488.670598432422"/>
    <n v="0"/>
    <n v="0"/>
    <n v="0"/>
    <n v="-89488.670598432422"/>
  </r>
  <r>
    <x v="6"/>
    <d v="2023-08-03T00:00:00"/>
    <d v="2023-08-24T00:00:00"/>
    <x v="0"/>
    <n v="9"/>
    <n v="3988"/>
    <n v="1391.1942737059592"/>
    <n v="1371.0212071439194"/>
    <n v="5467632.57408995"/>
    <n v="5548082.7635393655"/>
    <n v="-80450.189449415542"/>
    <n v="-6593.9125863287281"/>
    <n v="-87044.102035744276"/>
    <n v="0"/>
    <n v="0"/>
    <n v="0"/>
    <n v="-87044.102035744276"/>
  </r>
  <r>
    <x v="7"/>
    <d v="2023-09-05T00:00:00"/>
    <d v="2023-09-25T00:00:00"/>
    <x v="0"/>
    <n v="9"/>
    <n v="4265"/>
    <n v="1391.1942737059592"/>
    <n v="1371.0212071439194"/>
    <n v="5847405.4484688165"/>
    <n v="5933443.5773559157"/>
    <n v="-86038.128887099214"/>
    <n v="-7051.9150402938876"/>
    <n v="-93090.043927393097"/>
    <n v="0"/>
    <n v="0"/>
    <n v="0"/>
    <n v="-93090.043927393097"/>
  </r>
  <r>
    <x v="8"/>
    <d v="2023-10-04T00:00:00"/>
    <d v="2023-10-24T00:00:00"/>
    <x v="0"/>
    <n v="9"/>
    <n v="4016"/>
    <n v="1391.1942737059592"/>
    <n v="1371.0212071439194"/>
    <n v="5506021.1678899797"/>
    <n v="5587036.2032031324"/>
    <n v="-81015.035313152708"/>
    <n v="-6640.2088632638342"/>
    <n v="-87655.244176416541"/>
    <n v="0"/>
    <n v="0"/>
    <n v="0"/>
    <n v="-87655.244176416541"/>
  </r>
  <r>
    <x v="9"/>
    <d v="2023-11-03T00:00:00"/>
    <d v="2023-11-24T00:00:00"/>
    <x v="0"/>
    <n v="9"/>
    <n v="3105"/>
    <n v="1391.1942737059592"/>
    <n v="1371.0212071439194"/>
    <n v="4257020.8481818698"/>
    <n v="4319658.2198570035"/>
    <n v="-62637.371675133705"/>
    <n v="-5133.9264244109081"/>
    <n v="-67771.298099544612"/>
    <n v="0"/>
    <n v="0"/>
    <n v="0"/>
    <n v="-67771.298099544612"/>
  </r>
  <r>
    <x v="10"/>
    <d v="2023-12-06T00:00:00"/>
    <d v="2023-12-25T00:00:00"/>
    <x v="0"/>
    <n v="9"/>
    <n v="2513"/>
    <n v="1391.1942737059592"/>
    <n v="1371.0212071439194"/>
    <n v="3445376.2935526692"/>
    <n v="3496071.2098230752"/>
    <n v="-50694.916270405985"/>
    <n v="-4155.0908549258011"/>
    <n v="-54850.007125331787"/>
    <n v="0"/>
    <n v="0"/>
    <n v="0"/>
    <n v="-54850.007125331787"/>
  </r>
  <r>
    <x v="11"/>
    <d v="2024-01-03T00:00:00"/>
    <d v="2024-01-24T00:00:00"/>
    <x v="0"/>
    <n v="9"/>
    <n v="2474"/>
    <n v="1391.1942737059592"/>
    <n v="1371.0212071439194"/>
    <n v="3391906.4664740567"/>
    <n v="3441814.6331485431"/>
    <n v="-49908.166674486361"/>
    <n v="-4090.6067549090453"/>
    <n v="-53998.773429395405"/>
    <n v="0"/>
    <n v="0"/>
    <n v="0"/>
    <n v="-53998.773429395405"/>
  </r>
  <r>
    <x v="0"/>
    <d v="2023-02-03T00:00:00"/>
    <d v="2023-02-24T00:00:00"/>
    <x v="1"/>
    <n v="9"/>
    <n v="2724"/>
    <n v="1391.1942737059592"/>
    <n v="1371.0212071439194"/>
    <n v="3734661.7682600361"/>
    <n v="3789613.2015750329"/>
    <n v="-54951.433314996772"/>
    <n v="-4503.9663704010673"/>
    <n v="-59455.399685397839"/>
    <n v="0"/>
    <n v="0"/>
    <n v="0"/>
    <n v="-59455.399685397839"/>
  </r>
  <r>
    <x v="1"/>
    <d v="2023-03-03T00:00:00"/>
    <d v="2023-03-24T00:00:00"/>
    <x v="1"/>
    <n v="9"/>
    <n v="2757"/>
    <n v="1391.1942737059592"/>
    <n v="1371.0212071439194"/>
    <n v="3779905.4680957855"/>
    <n v="3835522.6126073296"/>
    <n v="-55617.144511544146"/>
    <n v="-4558.5298396460139"/>
    <n v="-60175.674351190159"/>
    <n v="0"/>
    <n v="0"/>
    <n v="0"/>
    <n v="-60175.674351190159"/>
  </r>
  <r>
    <x v="2"/>
    <d v="2023-04-05T00:00:00"/>
    <d v="2023-04-24T00:00:00"/>
    <x v="1"/>
    <n v="9"/>
    <n v="2641"/>
    <n v="1391.1942737059592"/>
    <n v="1371.0212071439194"/>
    <n v="3620867.008067091"/>
    <n v="3674144.0768574383"/>
    <n v="-53277.068790347315"/>
    <n v="-4366.7309780577152"/>
    <n v="-57643.799768405028"/>
    <n v="0"/>
    <n v="0"/>
    <n v="0"/>
    <n v="-57643.799768405028"/>
  </r>
  <r>
    <x v="3"/>
    <d v="2023-05-03T00:00:00"/>
    <d v="2023-05-24T00:00:00"/>
    <x v="1"/>
    <n v="9"/>
    <n v="2417"/>
    <n v="1391.1942737059592"/>
    <n v="1371.0212071439194"/>
    <n v="3313758.2576668533"/>
    <n v="3362516.5595473032"/>
    <n v="-48758.301880449988"/>
    <n v="-3996.3607625768641"/>
    <n v="-52754.662643026852"/>
    <n v="0"/>
    <n v="0"/>
    <n v="0"/>
    <n v="-52754.662643026852"/>
  </r>
  <r>
    <x v="4"/>
    <d v="2023-06-05T00:00:00"/>
    <d v="2023-06-26T00:00:00"/>
    <x v="1"/>
    <n v="9"/>
    <n v="2844"/>
    <n v="1391.1942737059592"/>
    <n v="1371.0212071439194"/>
    <n v="3899184.3131173067"/>
    <n v="3956556.514419748"/>
    <n v="-57372.201302441303"/>
    <n v="-4702.3789858372365"/>
    <n v="-62074.580288278536"/>
    <n v="0"/>
    <n v="0"/>
    <n v="0"/>
    <n v="-62074.580288278536"/>
  </r>
  <r>
    <x v="5"/>
    <d v="2023-07-05T00:00:00"/>
    <d v="2023-07-24T00:00:00"/>
    <x v="1"/>
    <n v="9"/>
    <n v="3500"/>
    <n v="1391.1942737059592"/>
    <n v="1371.0212071439194"/>
    <n v="4798574.2250037175"/>
    <n v="4869179.9579708567"/>
    <n v="-70605.732967139222"/>
    <n v="-5787.0346168883016"/>
    <n v="-76392.767584027519"/>
    <n v="0"/>
    <n v="0"/>
    <n v="0"/>
    <n v="-76392.767584027519"/>
  </r>
  <r>
    <x v="6"/>
    <d v="2023-08-03T00:00:00"/>
    <d v="2023-08-24T00:00:00"/>
    <x v="1"/>
    <n v="9"/>
    <n v="3569"/>
    <n v="1391.1942737059592"/>
    <n v="1371.0212071439194"/>
    <n v="4893174.6882966477"/>
    <n v="4965172.3628565678"/>
    <n v="-71997.674559920095"/>
    <n v="-5901.1218707641001"/>
    <n v="-77898.79643068419"/>
    <n v="0"/>
    <n v="0"/>
    <n v="0"/>
    <n v="-77898.79643068419"/>
  </r>
  <r>
    <x v="7"/>
    <d v="2023-09-05T00:00:00"/>
    <d v="2023-09-25T00:00:00"/>
    <x v="1"/>
    <n v="9"/>
    <n v="3766"/>
    <n v="1391.1942737059592"/>
    <n v="1371.0212071439194"/>
    <n v="5163265.8661040002"/>
    <n v="5239237.6347766425"/>
    <n v="-75971.768672642298"/>
    <n v="-6226.8492477718119"/>
    <n v="-82198.617920414108"/>
    <n v="0"/>
    <n v="0"/>
    <n v="0"/>
    <n v="-82198.617920414108"/>
  </r>
  <r>
    <x v="8"/>
    <d v="2023-10-04T00:00:00"/>
    <d v="2023-10-24T00:00:00"/>
    <x v="1"/>
    <n v="9"/>
    <n v="3456"/>
    <n v="1391.1942737059592"/>
    <n v="1371.0212071439194"/>
    <n v="4738249.2918893853"/>
    <n v="4807967.4099277947"/>
    <n v="-69718.11803840939"/>
    <n v="-5714.2833245617066"/>
    <n v="-75432.401362971097"/>
    <n v="0"/>
    <n v="0"/>
    <n v="0"/>
    <n v="-75432.401362971097"/>
  </r>
  <r>
    <x v="9"/>
    <d v="2023-11-03T00:00:00"/>
    <d v="2023-11-24T00:00:00"/>
    <x v="1"/>
    <n v="9"/>
    <n v="2810"/>
    <n v="1391.1942737059592"/>
    <n v="1371.0212071439194"/>
    <n v="3852569.5920744133"/>
    <n v="3909255.9091137452"/>
    <n v="-56686.317039331887"/>
    <n v="-4646.1620781303218"/>
    <n v="-61332.479117462208"/>
    <n v="0"/>
    <n v="0"/>
    <n v="0"/>
    <n v="-61332.479117462208"/>
  </r>
  <r>
    <x v="10"/>
    <d v="2023-12-06T00:00:00"/>
    <d v="2023-12-25T00:00:00"/>
    <x v="1"/>
    <n v="9"/>
    <n v="2499"/>
    <n v="1391.1942737059592"/>
    <n v="1371.0212071439194"/>
    <n v="3426181.9966526544"/>
    <n v="3476594.4899911918"/>
    <n v="-50412.493338537402"/>
    <n v="-4131.9427164582476"/>
    <n v="-54544.436054995647"/>
    <n v="0"/>
    <n v="0"/>
    <n v="0"/>
    <n v="-54544.436054995647"/>
  </r>
  <r>
    <x v="11"/>
    <d v="2024-01-03T00:00:00"/>
    <d v="2024-01-24T00:00:00"/>
    <x v="1"/>
    <n v="9"/>
    <n v="2532"/>
    <n v="1391.1942737059592"/>
    <n v="1371.0212071439194"/>
    <n v="3471425.6964884037"/>
    <n v="3522503.9010234885"/>
    <n v="-51078.204535084777"/>
    <n v="-4186.5061857031942"/>
    <n v="-55264.710720787974"/>
    <n v="0"/>
    <n v="0"/>
    <n v="0"/>
    <n v="-55264.710720787974"/>
  </r>
  <r>
    <x v="0"/>
    <d v="2023-02-03T00:00:00"/>
    <d v="2023-02-24T00:00:00"/>
    <x v="2"/>
    <n v="9"/>
    <n v="137"/>
    <n v="1391.1942737059592"/>
    <n v="1371.0212071439194"/>
    <n v="187829.90537871694"/>
    <n v="190593.61549771641"/>
    <n v="-2763.7101189994719"/>
    <n v="-226.5210692896278"/>
    <n v="-2990.2311882890999"/>
    <n v="0"/>
    <n v="0"/>
    <n v="0"/>
    <n v="-2990.2311882890999"/>
  </r>
  <r>
    <x v="1"/>
    <d v="2023-03-03T00:00:00"/>
    <d v="2023-03-24T00:00:00"/>
    <x v="2"/>
    <n v="9"/>
    <n v="132"/>
    <n v="1391.1942737059592"/>
    <n v="1371.0212071439194"/>
    <n v="180974.79934299734"/>
    <n v="183637.64412918661"/>
    <n v="-2662.8447861892637"/>
    <n v="-218.25387697978738"/>
    <n v="-2881.0986631690512"/>
    <n v="0"/>
    <n v="0"/>
    <n v="0"/>
    <n v="-2881.0986631690512"/>
  </r>
  <r>
    <x v="2"/>
    <d v="2023-04-05T00:00:00"/>
    <d v="2023-04-24T00:00:00"/>
    <x v="2"/>
    <n v="9"/>
    <n v="148"/>
    <n v="1391.1942737059592"/>
    <n v="1371.0212071439194"/>
    <n v="202911.13865730006"/>
    <n v="205896.75250848196"/>
    <n v="-2985.6138511819008"/>
    <n v="-244.70889237127673"/>
    <n v="-3230.3227435531776"/>
    <n v="0"/>
    <n v="0"/>
    <n v="0"/>
    <n v="-3230.3227435531776"/>
  </r>
  <r>
    <x v="3"/>
    <d v="2023-05-03T00:00:00"/>
    <d v="2023-05-24T00:00:00"/>
    <x v="2"/>
    <n v="9"/>
    <n v="92"/>
    <n v="1391.1942737059592"/>
    <n v="1371.0212071439194"/>
    <n v="126133.95105724059"/>
    <n v="127989.87318094824"/>
    <n v="-1855.9221237076563"/>
    <n v="-152.11633850106392"/>
    <n v="-2008.0384622087201"/>
    <n v="0"/>
    <n v="0"/>
    <n v="0"/>
    <n v="-2008.0384622087201"/>
  </r>
  <r>
    <x v="4"/>
    <d v="2023-06-05T00:00:00"/>
    <d v="2023-06-26T00:00:00"/>
    <x v="2"/>
    <n v="9"/>
    <n v="104"/>
    <n v="1391.1942737059592"/>
    <n v="1371.0212071439194"/>
    <n v="142586.20554296763"/>
    <n v="144684.20446541975"/>
    <n v="-2097.9989224521269"/>
    <n v="-171.95760004468096"/>
    <n v="-2269.9565224968078"/>
    <n v="0"/>
    <n v="0"/>
    <n v="0"/>
    <n v="-2269.9565224968078"/>
  </r>
  <r>
    <x v="5"/>
    <d v="2023-07-05T00:00:00"/>
    <d v="2023-07-24T00:00:00"/>
    <x v="2"/>
    <n v="9"/>
    <n v="156"/>
    <n v="1391.1942737059592"/>
    <n v="1371.0212071439194"/>
    <n v="213879.30831445142"/>
    <n v="217026.30669812963"/>
    <n v="-3146.9983836782048"/>
    <n v="-257.93640006702145"/>
    <n v="-3404.9347837452265"/>
    <n v="0"/>
    <n v="0"/>
    <n v="0"/>
    <n v="-3404.9347837452265"/>
  </r>
  <r>
    <x v="6"/>
    <d v="2023-08-03T00:00:00"/>
    <d v="2023-08-24T00:00:00"/>
    <x v="2"/>
    <n v="9"/>
    <n v="155"/>
    <n v="1391.1942737059592"/>
    <n v="1371.0212071439194"/>
    <n v="212508.28710730749"/>
    <n v="215635.11242442369"/>
    <n v="-3126.8253171161923"/>
    <n v="-256.28296160505334"/>
    <n v="-3383.1082787212458"/>
    <n v="0"/>
    <n v="0"/>
    <n v="0"/>
    <n v="-3383.1082787212458"/>
  </r>
  <r>
    <x v="7"/>
    <d v="2023-09-05T00:00:00"/>
    <d v="2023-09-25T00:00:00"/>
    <x v="2"/>
    <n v="9"/>
    <n v="159"/>
    <n v="1391.1942737059592"/>
    <n v="1371.0212071439194"/>
    <n v="217992.37193588319"/>
    <n v="221199.88951924752"/>
    <n v="-3207.5175833643298"/>
    <n v="-262.89671545292572"/>
    <n v="-3470.4142988172553"/>
    <n v="0"/>
    <n v="0"/>
    <n v="0"/>
    <n v="-3470.4142988172553"/>
  </r>
  <r>
    <x v="8"/>
    <d v="2023-10-04T00:00:00"/>
    <d v="2023-10-24T00:00:00"/>
    <x v="2"/>
    <n v="9"/>
    <n v="144"/>
    <n v="1391.1942737059592"/>
    <n v="1371.0212071439194"/>
    <n v="197427.0538287244"/>
    <n v="200331.97541365813"/>
    <n v="-2904.9215849337343"/>
    <n v="-238.09513852340442"/>
    <n v="-3143.0167234571386"/>
    <n v="0"/>
    <n v="0"/>
    <n v="0"/>
    <n v="-3143.0167234571386"/>
  </r>
  <r>
    <x v="9"/>
    <d v="2023-11-03T00:00:00"/>
    <d v="2023-11-24T00:00:00"/>
    <x v="2"/>
    <n v="9"/>
    <n v="117"/>
    <n v="1391.1942737059592"/>
    <n v="1371.0212071439194"/>
    <n v="160409.48123583855"/>
    <n v="162769.73002359722"/>
    <n v="-2360.2487877586682"/>
    <n v="-193.4523000502661"/>
    <n v="-2553.7010878089341"/>
    <n v="0"/>
    <n v="0"/>
    <n v="0"/>
    <n v="-2553.7010878089341"/>
  </r>
  <r>
    <x v="10"/>
    <d v="2023-12-06T00:00:00"/>
    <d v="2023-12-25T00:00:00"/>
    <x v="2"/>
    <n v="9"/>
    <n v="134"/>
    <n v="1391.1942737059592"/>
    <n v="1371.0212071439194"/>
    <n v="183716.8417572852"/>
    <n v="186420.03267659852"/>
    <n v="-2703.1909193133179"/>
    <n v="-221.56075390372357"/>
    <n v="-2924.7516732170416"/>
    <n v="0"/>
    <n v="0"/>
    <n v="0"/>
    <n v="-2924.7516732170416"/>
  </r>
  <r>
    <x v="11"/>
    <d v="2024-01-03T00:00:00"/>
    <d v="2024-01-24T00:00:00"/>
    <x v="2"/>
    <n v="9"/>
    <n v="145"/>
    <n v="1391.1942737059592"/>
    <n v="1371.0212071439194"/>
    <n v="198798.0750358683"/>
    <n v="201723.16968736408"/>
    <n v="-2925.0946514957759"/>
    <n v="-239.74857698537249"/>
    <n v="-3164.8432284811483"/>
    <n v="0"/>
    <n v="0"/>
    <n v="0"/>
    <n v="-3164.8432284811483"/>
  </r>
  <r>
    <x v="0"/>
    <d v="2023-02-03T00:00:00"/>
    <d v="2023-02-24T00:00:00"/>
    <x v="3"/>
    <n v="9"/>
    <n v="828"/>
    <n v="1391.1942737059592"/>
    <n v="1371.0212071439194"/>
    <n v="1135205.5595151652"/>
    <n v="1151908.8586285342"/>
    <n v="-16703.299113369081"/>
    <n v="-1369.0470465095755"/>
    <n v="-18072.346159878656"/>
    <n v="0"/>
    <n v="0"/>
    <n v="0"/>
    <n v="-18072.346159878656"/>
  </r>
  <r>
    <x v="1"/>
    <d v="2023-03-03T00:00:00"/>
    <d v="2023-03-24T00:00:00"/>
    <x v="3"/>
    <n v="9"/>
    <n v="786"/>
    <n v="1391.1942737059592"/>
    <n v="1371.0212071439194"/>
    <n v="1077622.6688151206"/>
    <n v="1093478.6991328839"/>
    <n v="-15856.030317763332"/>
    <n v="-1299.6026311069156"/>
    <n v="-17155.632948870247"/>
    <n v="0"/>
    <n v="0"/>
    <n v="0"/>
    <n v="-17155.632948870247"/>
  </r>
  <r>
    <x v="2"/>
    <d v="2023-04-05T00:00:00"/>
    <d v="2023-04-24T00:00:00"/>
    <x v="3"/>
    <n v="9"/>
    <n v="702"/>
    <n v="1391.1942737059592"/>
    <n v="1371.0212071439194"/>
    <n v="962456.88741503144"/>
    <n v="976618.38014158339"/>
    <n v="-14161.492726551951"/>
    <n v="-1160.7138003015966"/>
    <n v="-15322.206526853548"/>
    <n v="0"/>
    <n v="0"/>
    <n v="0"/>
    <n v="-15322.206526853548"/>
  </r>
  <r>
    <x v="3"/>
    <d v="2023-05-03T00:00:00"/>
    <d v="2023-05-24T00:00:00"/>
    <x v="3"/>
    <n v="9"/>
    <n v="519"/>
    <n v="1391.1942737059592"/>
    <n v="1371.0212071439194"/>
    <n v="711560.00650769414"/>
    <n v="722029.82805339282"/>
    <n v="-10469.82154569868"/>
    <n v="-858.13456176143666"/>
    <n v="-11327.956107460117"/>
    <n v="0"/>
    <n v="0"/>
    <n v="0"/>
    <n v="-11327.956107460117"/>
  </r>
  <r>
    <x v="4"/>
    <d v="2023-06-05T00:00:00"/>
    <d v="2023-06-26T00:00:00"/>
    <x v="3"/>
    <n v="9"/>
    <n v="720"/>
    <n v="1391.1942737059592"/>
    <n v="1371.0212071439194"/>
    <n v="987135.2691436219"/>
    <n v="1001659.8770682906"/>
    <n v="-14524.6079246687"/>
    <n v="-1190.4756926170221"/>
    <n v="-15715.083617285723"/>
    <n v="0"/>
    <n v="0"/>
    <n v="0"/>
    <n v="-15715.083617285723"/>
  </r>
  <r>
    <x v="5"/>
    <d v="2023-07-05T00:00:00"/>
    <d v="2023-07-24T00:00:00"/>
    <x v="3"/>
    <n v="9"/>
    <n v="975"/>
    <n v="1391.1942737059592"/>
    <n v="1371.0212071439194"/>
    <n v="1336745.6769653214"/>
    <n v="1356414.4168633102"/>
    <n v="-19668.739897988737"/>
    <n v="-1612.1025004188841"/>
    <n v="-21280.842398407622"/>
    <n v="0"/>
    <n v="0"/>
    <n v="0"/>
    <n v="-21280.842398407622"/>
  </r>
  <r>
    <x v="6"/>
    <d v="2023-08-03T00:00:00"/>
    <d v="2023-08-24T00:00:00"/>
    <x v="3"/>
    <n v="9"/>
    <n v="924"/>
    <n v="1391.1942737059592"/>
    <n v="1371.0212071439194"/>
    <n v="1266823.5954009814"/>
    <n v="1285463.5089043062"/>
    <n v="-18639.913503324846"/>
    <n v="-1527.7771388585115"/>
    <n v="-20167.690642183356"/>
    <n v="0"/>
    <n v="0"/>
    <n v="0"/>
    <n v="-20167.690642183356"/>
  </r>
  <r>
    <x v="7"/>
    <d v="2023-09-05T00:00:00"/>
    <d v="2023-09-25T00:00:00"/>
    <x v="3"/>
    <n v="9"/>
    <n v="1053"/>
    <n v="1391.1942737059592"/>
    <n v="1371.0212071439194"/>
    <n v="1443685.3311225472"/>
    <n v="1464927.5702123749"/>
    <n v="-21242.239089827752"/>
    <n v="-1741.0707004523949"/>
    <n v="-22983.309790280146"/>
    <n v="0"/>
    <n v="0"/>
    <n v="0"/>
    <n v="-22983.309790280146"/>
  </r>
  <r>
    <x v="8"/>
    <d v="2023-10-04T00:00:00"/>
    <d v="2023-10-24T00:00:00"/>
    <x v="3"/>
    <n v="9"/>
    <n v="905"/>
    <n v="1391.1942737059592"/>
    <n v="1371.0212071439194"/>
    <n v="1240774.1924652471"/>
    <n v="1259030.8177038929"/>
    <n v="-18256.625238645822"/>
    <n v="-1496.3618080811179"/>
    <n v="-19752.987046726939"/>
    <n v="0"/>
    <n v="0"/>
    <n v="0"/>
    <n v="-19752.987046726939"/>
  </r>
  <r>
    <x v="9"/>
    <d v="2023-11-03T00:00:00"/>
    <d v="2023-11-24T00:00:00"/>
    <x v="3"/>
    <n v="9"/>
    <n v="694"/>
    <n v="1391.1942737059592"/>
    <n v="1371.0212071439194"/>
    <n v="951488.71775787999"/>
    <n v="965488.82595193572"/>
    <n v="-14000.108194055734"/>
    <n v="-1147.4862926058518"/>
    <n v="-15147.594486661586"/>
    <n v="0"/>
    <n v="0"/>
    <n v="0"/>
    <n v="-15147.594486661586"/>
  </r>
  <r>
    <x v="10"/>
    <d v="2023-12-06T00:00:00"/>
    <d v="2023-12-25T00:00:00"/>
    <x v="3"/>
    <n v="9"/>
    <n v="736"/>
    <n v="1391.1942737059592"/>
    <n v="1371.0212071439194"/>
    <n v="1009071.6084579247"/>
    <n v="1023918.9854475859"/>
    <n v="-14847.37698966125"/>
    <n v="-1216.9307080085114"/>
    <n v="-16064.307697669761"/>
    <n v="0"/>
    <n v="0"/>
    <n v="0"/>
    <n v="-16064.307697669761"/>
  </r>
  <r>
    <x v="11"/>
    <d v="2024-01-03T00:00:00"/>
    <d v="2024-01-24T00:00:00"/>
    <x v="3"/>
    <n v="9"/>
    <n v="713"/>
    <n v="1391.1942737059592"/>
    <n v="1371.0212071439194"/>
    <n v="977538.12069361447"/>
    <n v="991921.51715234888"/>
    <n v="-14383.396458734409"/>
    <n v="-1178.9016233832454"/>
    <n v="-15562.298082117653"/>
    <n v="0"/>
    <n v="0"/>
    <n v="0"/>
    <n v="-15562.298082117653"/>
  </r>
  <r>
    <x v="0"/>
    <d v="2023-02-03T00:00:00"/>
    <d v="2023-02-24T00:00:00"/>
    <x v="4"/>
    <n v="9"/>
    <n v="44"/>
    <n v="1391.1942737059592"/>
    <n v="1371.0212071439194"/>
    <n v="60324.933114332453"/>
    <n v="61212.548043062205"/>
    <n v="-887.61492872975214"/>
    <n v="-72.751292326595802"/>
    <n v="-960.36622105634797"/>
    <n v="0"/>
    <n v="0"/>
    <n v="0"/>
    <n v="-960.36622105634797"/>
  </r>
  <r>
    <x v="1"/>
    <d v="2023-03-03T00:00:00"/>
    <d v="2023-03-24T00:00:00"/>
    <x v="4"/>
    <n v="9"/>
    <n v="42"/>
    <n v="1391.1942737059592"/>
    <n v="1371.0212071439194"/>
    <n v="57582.890700044612"/>
    <n v="58430.159495650289"/>
    <n v="-847.26879560567613"/>
    <n v="-69.444415402659615"/>
    <n v="-916.71321100833575"/>
    <n v="0"/>
    <n v="0"/>
    <n v="0"/>
    <n v="-916.71321100833575"/>
  </r>
  <r>
    <x v="2"/>
    <d v="2023-04-05T00:00:00"/>
    <d v="2023-04-24T00:00:00"/>
    <x v="4"/>
    <n v="9"/>
    <n v="37"/>
    <n v="1391.1942737059592"/>
    <n v="1371.0212071439194"/>
    <n v="50727.784664325016"/>
    <n v="51474.188127120491"/>
    <n v="-746.40346279547521"/>
    <n v="-61.177223092819183"/>
    <n v="-807.5806858882944"/>
    <n v="0"/>
    <n v="0"/>
    <n v="0"/>
    <n v="-807.5806858882944"/>
  </r>
  <r>
    <x v="3"/>
    <d v="2023-05-03T00:00:00"/>
    <d v="2023-05-24T00:00:00"/>
    <x v="4"/>
    <n v="9"/>
    <n v="27"/>
    <n v="1391.1942737059592"/>
    <n v="1371.0212071439194"/>
    <n v="37017.572592885823"/>
    <n v="37562.245390060896"/>
    <n v="-544.67279717507336"/>
    <n v="-44.642838473138333"/>
    <n v="-589.3156356482117"/>
    <n v="0"/>
    <n v="0"/>
    <n v="0"/>
    <n v="-589.3156356482117"/>
  </r>
  <r>
    <x v="4"/>
    <d v="2023-06-05T00:00:00"/>
    <d v="2023-06-26T00:00:00"/>
    <x v="4"/>
    <n v="9"/>
    <n v="42"/>
    <n v="1391.1942737059592"/>
    <n v="1371.0212071439194"/>
    <n v="57582.890700044612"/>
    <n v="58430.159495650289"/>
    <n v="-847.26879560567613"/>
    <n v="-69.444415402659615"/>
    <n v="-916.71321100833575"/>
    <n v="0"/>
    <n v="0"/>
    <n v="0"/>
    <n v="-916.71321100833575"/>
  </r>
  <r>
    <x v="5"/>
    <d v="2023-07-05T00:00:00"/>
    <d v="2023-07-24T00:00:00"/>
    <x v="4"/>
    <n v="9"/>
    <n v="56"/>
    <n v="1391.1942737059592"/>
    <n v="1371.0212071439194"/>
    <n v="76777.187600059478"/>
    <n v="77906.879327533708"/>
    <n v="-1129.69172747423"/>
    <n v="-92.592553870212825"/>
    <n v="-1222.2842813444429"/>
    <n v="0"/>
    <n v="0"/>
    <n v="0"/>
    <n v="-1222.2842813444429"/>
  </r>
  <r>
    <x v="6"/>
    <d v="2023-08-03T00:00:00"/>
    <d v="2023-08-24T00:00:00"/>
    <x v="4"/>
    <n v="9"/>
    <n v="54"/>
    <n v="1391.1942737059592"/>
    <n v="1371.0212071439194"/>
    <n v="74035.145185771646"/>
    <n v="75124.490780121792"/>
    <n v="-1089.3455943501467"/>
    <n v="-89.285676946276666"/>
    <n v="-1178.6312712964234"/>
    <n v="0"/>
    <n v="0"/>
    <n v="0"/>
    <n v="-1178.6312712964234"/>
  </r>
  <r>
    <x v="7"/>
    <d v="2023-09-05T00:00:00"/>
    <d v="2023-09-25T00:00:00"/>
    <x v="4"/>
    <n v="9"/>
    <n v="59"/>
    <n v="1391.1942737059592"/>
    <n v="1371.0212071439194"/>
    <n v="80890.251221491242"/>
    <n v="82080.462148651597"/>
    <n v="-1190.2109271603549"/>
    <n v="-97.552869256117077"/>
    <n v="-1287.7637964164719"/>
    <n v="0"/>
    <n v="0"/>
    <n v="0"/>
    <n v="-1287.7637964164719"/>
  </r>
  <r>
    <x v="8"/>
    <d v="2023-10-04T00:00:00"/>
    <d v="2023-10-24T00:00:00"/>
    <x v="4"/>
    <n v="9"/>
    <n v="54"/>
    <n v="1391.1942737059592"/>
    <n v="1371.0212071439194"/>
    <n v="74035.145185771646"/>
    <n v="75124.490780121792"/>
    <n v="-1089.3455943501467"/>
    <n v="-89.285676946276666"/>
    <n v="-1178.6312712964234"/>
    <n v="0"/>
    <n v="0"/>
    <n v="0"/>
    <n v="-1178.6312712964234"/>
  </r>
  <r>
    <x v="9"/>
    <d v="2023-11-03T00:00:00"/>
    <d v="2023-11-24T00:00:00"/>
    <x v="4"/>
    <n v="9"/>
    <n v="37"/>
    <n v="1391.1942737059592"/>
    <n v="1371.0212071439194"/>
    <n v="50727.784664325016"/>
    <n v="51474.188127120491"/>
    <n v="-746.40346279547521"/>
    <n v="-61.177223092819183"/>
    <n v="-807.5806858882944"/>
    <n v="0"/>
    <n v="0"/>
    <n v="0"/>
    <n v="-807.5806858882944"/>
  </r>
  <r>
    <x v="10"/>
    <d v="2023-12-06T00:00:00"/>
    <d v="2023-12-25T00:00:00"/>
    <x v="4"/>
    <n v="9"/>
    <n v="38"/>
    <n v="1391.1942737059592"/>
    <n v="1371.0212071439194"/>
    <n v="52098.805871468932"/>
    <n v="52865.382400826449"/>
    <n v="-766.57652935751685"/>
    <n v="-62.830661554787277"/>
    <n v="-829.40719091230415"/>
    <n v="0"/>
    <n v="0"/>
    <n v="0"/>
    <n v="-829.40719091230415"/>
  </r>
  <r>
    <x v="11"/>
    <d v="2024-01-03T00:00:00"/>
    <d v="2024-01-24T00:00:00"/>
    <x v="4"/>
    <n v="9"/>
    <n v="35"/>
    <n v="1391.1942737059592"/>
    <n v="1371.0212071439194"/>
    <n v="47985.742250037176"/>
    <n v="48691.799579708568"/>
    <n v="-706.05732967139193"/>
    <n v="-57.870346168883017"/>
    <n v="-763.9276758402749"/>
    <n v="0"/>
    <n v="0"/>
    <n v="0"/>
    <n v="-763.9276758402749"/>
  </r>
  <r>
    <x v="0"/>
    <d v="2023-02-03T00:00:00"/>
    <d v="2023-02-24T00:00:00"/>
    <x v="5"/>
    <n v="9"/>
    <n v="53"/>
    <n v="1391.1942737059592"/>
    <n v="1371.0212071439194"/>
    <n v="72664.123978627729"/>
    <n v="73733.296506415834"/>
    <n v="-1069.1725277881051"/>
    <n v="-87.632238484308573"/>
    <n v="-1156.8047662724136"/>
    <n v="0"/>
    <n v="0"/>
    <n v="0"/>
    <n v="-1156.8047662724136"/>
  </r>
  <r>
    <x v="1"/>
    <d v="2023-03-03T00:00:00"/>
    <d v="2023-03-24T00:00:00"/>
    <x v="5"/>
    <n v="9"/>
    <n v="55"/>
    <n v="1391.1942737059592"/>
    <n v="1371.0212071439194"/>
    <n v="75406.166392915562"/>
    <n v="76515.68505382775"/>
    <n v="-1109.5186609121884"/>
    <n v="-90.939115408244746"/>
    <n v="-1200.4577763204331"/>
    <n v="0"/>
    <n v="0"/>
    <n v="0"/>
    <n v="-1200.4577763204331"/>
  </r>
  <r>
    <x v="2"/>
    <d v="2023-04-05T00:00:00"/>
    <d v="2023-04-24T00:00:00"/>
    <x v="5"/>
    <n v="9"/>
    <n v="46"/>
    <n v="1391.1942737059592"/>
    <n v="1371.0212071439194"/>
    <n v="63066.975528620293"/>
    <n v="63994.936590474121"/>
    <n v="-927.96106185382814"/>
    <n v="-76.058169250531961"/>
    <n v="-1004.0192311043601"/>
    <n v="0"/>
    <n v="0"/>
    <n v="0"/>
    <n v="-1004.0192311043601"/>
  </r>
  <r>
    <x v="3"/>
    <d v="2023-05-03T00:00:00"/>
    <d v="2023-05-24T00:00:00"/>
    <x v="5"/>
    <n v="9"/>
    <n v="33"/>
    <n v="1391.1942737059592"/>
    <n v="1371.0212071439194"/>
    <n v="45243.699835749336"/>
    <n v="45909.411032296652"/>
    <n v="-665.71119654731592"/>
    <n v="-54.563469244946845"/>
    <n v="-720.27466579226279"/>
    <n v="0"/>
    <n v="0"/>
    <n v="0"/>
    <n v="-720.27466579226279"/>
  </r>
  <r>
    <x v="4"/>
    <d v="2023-06-05T00:00:00"/>
    <d v="2023-06-26T00:00:00"/>
    <x v="5"/>
    <n v="9"/>
    <n v="44"/>
    <n v="1391.1942737059592"/>
    <n v="1371.0212071439194"/>
    <n v="60324.933114332453"/>
    <n v="61212.548043062205"/>
    <n v="-887.61492872975214"/>
    <n v="-72.751292326595802"/>
    <n v="-960.36622105634797"/>
    <n v="0"/>
    <n v="0"/>
    <n v="0"/>
    <n v="-960.36622105634797"/>
  </r>
  <r>
    <x v="5"/>
    <d v="2023-07-05T00:00:00"/>
    <d v="2023-07-24T00:00:00"/>
    <x v="5"/>
    <n v="9"/>
    <n v="55"/>
    <n v="1391.1942737059592"/>
    <n v="1371.0212071439194"/>
    <n v="75406.166392915562"/>
    <n v="76515.68505382775"/>
    <n v="-1109.5186609121884"/>
    <n v="-90.939115408244746"/>
    <n v="-1200.4577763204331"/>
    <n v="0"/>
    <n v="0"/>
    <n v="0"/>
    <n v="-1200.4577763204331"/>
  </r>
  <r>
    <x v="6"/>
    <d v="2023-08-03T00:00:00"/>
    <d v="2023-08-24T00:00:00"/>
    <x v="5"/>
    <n v="9"/>
    <n v="57"/>
    <n v="1391.1942737059592"/>
    <n v="1371.0212071439194"/>
    <n v="78148.208807203409"/>
    <n v="79298.073601239666"/>
    <n v="-1149.8647940362571"/>
    <n v="-94.245992332180919"/>
    <n v="-1244.1107863684381"/>
    <n v="0"/>
    <n v="0"/>
    <n v="0"/>
    <n v="-1244.1107863684381"/>
  </r>
  <r>
    <x v="7"/>
    <d v="2023-09-05T00:00:00"/>
    <d v="2023-09-25T00:00:00"/>
    <x v="5"/>
    <n v="9"/>
    <n v="56"/>
    <n v="1391.1942737059592"/>
    <n v="1371.0212071439194"/>
    <n v="76777.187600059478"/>
    <n v="77906.879327533708"/>
    <n v="-1129.69172747423"/>
    <n v="-92.592553870212825"/>
    <n v="-1222.2842813444429"/>
    <n v="0"/>
    <n v="0"/>
    <n v="0"/>
    <n v="-1222.2842813444429"/>
  </r>
  <r>
    <x v="8"/>
    <d v="2023-10-04T00:00:00"/>
    <d v="2023-10-24T00:00:00"/>
    <x v="5"/>
    <n v="9"/>
    <n v="60"/>
    <n v="1391.1942737059592"/>
    <n v="1371.0212071439194"/>
    <n v="82261.272428635159"/>
    <n v="83471.656422357555"/>
    <n v="-1210.3839937223966"/>
    <n v="-99.206307718085171"/>
    <n v="-1309.5903014404817"/>
    <n v="0"/>
    <n v="0"/>
    <n v="0"/>
    <n v="-1309.5903014404817"/>
  </r>
  <r>
    <x v="9"/>
    <d v="2023-11-03T00:00:00"/>
    <d v="2023-11-24T00:00:00"/>
    <x v="5"/>
    <n v="9"/>
    <n v="48"/>
    <n v="1391.1942737059592"/>
    <n v="1371.0212071439194"/>
    <n v="65809.017942908133"/>
    <n v="66777.325137886044"/>
    <n v="-968.30719497791142"/>
    <n v="-79.365046174468134"/>
    <n v="-1047.6722411523795"/>
    <n v="0"/>
    <n v="0"/>
    <n v="0"/>
    <n v="-1047.6722411523795"/>
  </r>
  <r>
    <x v="10"/>
    <d v="2023-12-06T00:00:00"/>
    <d v="2023-12-25T00:00:00"/>
    <x v="5"/>
    <n v="9"/>
    <n v="54"/>
    <n v="1391.1942737059592"/>
    <n v="1371.0212071439194"/>
    <n v="74035.145185771646"/>
    <n v="75124.490780121792"/>
    <n v="-1089.3455943501467"/>
    <n v="-89.285676946276666"/>
    <n v="-1178.6312712964234"/>
    <n v="0"/>
    <n v="0"/>
    <n v="0"/>
    <n v="-1178.6312712964234"/>
  </r>
  <r>
    <x v="11"/>
    <d v="2024-01-03T00:00:00"/>
    <d v="2024-01-24T00:00:00"/>
    <x v="5"/>
    <n v="9"/>
    <n v="55"/>
    <n v="1391.1942737059592"/>
    <n v="1371.0212071439194"/>
    <n v="75406.166392915562"/>
    <n v="76515.68505382775"/>
    <n v="-1109.5186609121884"/>
    <n v="-90.939115408244746"/>
    <n v="-1200.4577763204331"/>
    <n v="0"/>
    <n v="0"/>
    <n v="0"/>
    <n v="-1200.4577763204331"/>
  </r>
  <r>
    <x v="0"/>
    <d v="2023-02-03T00:00:00"/>
    <d v="2023-02-24T00:00:00"/>
    <x v="6"/>
    <n v="9"/>
    <n v="84"/>
    <n v="1391.1942737059592"/>
    <n v="1371.0212071439194"/>
    <n v="115165.78140008922"/>
    <n v="116860.31899130058"/>
    <n v="-1694.5375912113523"/>
    <n v="-138.88883080531923"/>
    <n v="-1833.4264220166715"/>
    <n v="0"/>
    <n v="0"/>
    <n v="0"/>
    <n v="-1833.4264220166715"/>
  </r>
  <r>
    <x v="1"/>
    <d v="2023-03-03T00:00:00"/>
    <d v="2023-03-24T00:00:00"/>
    <x v="6"/>
    <n v="9"/>
    <n v="83"/>
    <n v="1391.1942737059592"/>
    <n v="1371.0212071439194"/>
    <n v="113794.76019294531"/>
    <n v="115469.1247175946"/>
    <n v="-1674.3645246492961"/>
    <n v="-137.23539234335115"/>
    <n v="-1811.5999169926472"/>
    <n v="0"/>
    <n v="0"/>
    <n v="0"/>
    <n v="-1811.5999169926472"/>
  </r>
  <r>
    <x v="2"/>
    <d v="2023-04-05T00:00:00"/>
    <d v="2023-04-24T00:00:00"/>
    <x v="6"/>
    <n v="9"/>
    <n v="76"/>
    <n v="1391.1942737059592"/>
    <n v="1371.0212071439194"/>
    <n v="104197.61174293786"/>
    <n v="105730.7648016529"/>
    <n v="-1533.1530587150337"/>
    <n v="-125.66132310957455"/>
    <n v="-1658.8143818246083"/>
    <n v="0"/>
    <n v="0"/>
    <n v="0"/>
    <n v="-1658.8143818246083"/>
  </r>
  <r>
    <x v="3"/>
    <d v="2023-05-03T00:00:00"/>
    <d v="2023-05-24T00:00:00"/>
    <x v="6"/>
    <n v="9"/>
    <n v="69"/>
    <n v="1391.1942737059592"/>
    <n v="1371.0212071439194"/>
    <n v="94600.463292930435"/>
    <n v="95992.404885711177"/>
    <n v="-1391.9415927807422"/>
    <n v="-114.08725387579796"/>
    <n v="-1506.0288466565403"/>
    <n v="0"/>
    <n v="0"/>
    <n v="0"/>
    <n v="-1506.0288466565403"/>
  </r>
  <r>
    <x v="4"/>
    <d v="2023-06-05T00:00:00"/>
    <d v="2023-06-26T00:00:00"/>
    <x v="6"/>
    <n v="9"/>
    <n v="99"/>
    <n v="1391.1942737059592"/>
    <n v="1371.0212071439194"/>
    <n v="135731.09950724803"/>
    <n v="137728.23309688995"/>
    <n v="-1997.1335896419187"/>
    <n v="-163.69040773484053"/>
    <n v="-2160.8239973767591"/>
    <n v="0"/>
    <n v="0"/>
    <n v="0"/>
    <n v="-2160.8239973767591"/>
  </r>
  <r>
    <x v="5"/>
    <d v="2023-07-05T00:00:00"/>
    <d v="2023-07-24T00:00:00"/>
    <x v="6"/>
    <n v="9"/>
    <n v="149"/>
    <n v="1391.1942737059592"/>
    <n v="1371.0212071439194"/>
    <n v="204282.15986444399"/>
    <n v="207287.94678218791"/>
    <n v="-3005.7869177439134"/>
    <n v="-246.36233083324484"/>
    <n v="-3252.1492485771582"/>
    <n v="0"/>
    <n v="0"/>
    <n v="0"/>
    <n v="-3252.1492485771582"/>
  </r>
  <r>
    <x v="6"/>
    <d v="2023-08-03T00:00:00"/>
    <d v="2023-08-24T00:00:00"/>
    <x v="6"/>
    <n v="9"/>
    <n v="148"/>
    <n v="1391.1942737059592"/>
    <n v="1371.0212071439194"/>
    <n v="202911.13865730006"/>
    <n v="205896.75250848196"/>
    <n v="-2985.6138511819008"/>
    <n v="-244.70889237127673"/>
    <n v="-3230.3227435531776"/>
    <n v="0"/>
    <n v="0"/>
    <n v="0"/>
    <n v="-3230.3227435531776"/>
  </r>
  <r>
    <x v="7"/>
    <d v="2023-09-05T00:00:00"/>
    <d v="2023-09-25T00:00:00"/>
    <x v="6"/>
    <n v="9"/>
    <n v="160"/>
    <n v="1391.1942737059592"/>
    <n v="1371.0212071439194"/>
    <n v="219363.39314302709"/>
    <n v="222591.08379295346"/>
    <n v="-3227.6906499263714"/>
    <n v="-264.55015391489377"/>
    <n v="-3492.240803841265"/>
    <n v="0"/>
    <n v="0"/>
    <n v="0"/>
    <n v="-3492.240803841265"/>
  </r>
  <r>
    <x v="8"/>
    <d v="2023-10-04T00:00:00"/>
    <d v="2023-10-24T00:00:00"/>
    <x v="6"/>
    <n v="9"/>
    <n v="155"/>
    <n v="1391.1942737059592"/>
    <n v="1371.0212071439194"/>
    <n v="212508.28710730749"/>
    <n v="215635.11242442369"/>
    <n v="-3126.8253171161923"/>
    <n v="-256.28296160505334"/>
    <n v="-3383.1082787212458"/>
    <n v="0"/>
    <n v="0"/>
    <n v="0"/>
    <n v="-3383.1082787212458"/>
  </r>
  <r>
    <x v="9"/>
    <d v="2023-11-03T00:00:00"/>
    <d v="2023-11-24T00:00:00"/>
    <x v="6"/>
    <n v="9"/>
    <n v="110"/>
    <n v="1391.1942737059592"/>
    <n v="1371.0212071439194"/>
    <n v="150812.33278583112"/>
    <n v="153031.3701076555"/>
    <n v="-2219.0373218243767"/>
    <n v="-181.87823081648949"/>
    <n v="-2400.9155526408663"/>
    <n v="0"/>
    <n v="0"/>
    <n v="0"/>
    <n v="-2400.9155526408663"/>
  </r>
  <r>
    <x v="10"/>
    <d v="2023-12-06T00:00:00"/>
    <d v="2023-12-25T00:00:00"/>
    <x v="6"/>
    <n v="9"/>
    <n v="70"/>
    <n v="1391.1942737059592"/>
    <n v="1371.0212071439194"/>
    <n v="95971.484500074352"/>
    <n v="97383.599159417136"/>
    <n v="-1412.1146593427839"/>
    <n v="-115.74069233776603"/>
    <n v="-1527.8553516805498"/>
    <n v="0"/>
    <n v="0"/>
    <n v="0"/>
    <n v="-1527.8553516805498"/>
  </r>
  <r>
    <x v="11"/>
    <d v="2024-01-03T00:00:00"/>
    <d v="2024-01-24T00:00:00"/>
    <x v="6"/>
    <n v="9"/>
    <n v="66"/>
    <n v="1391.1942737059592"/>
    <n v="1371.0212071439194"/>
    <n v="90487.399671498672"/>
    <n v="91818.822064593303"/>
    <n v="-1331.4223930946318"/>
    <n v="-109.12693848989369"/>
    <n v="-1440.5493315845256"/>
    <n v="0"/>
    <n v="0"/>
    <n v="0"/>
    <n v="-1440.5493315845256"/>
  </r>
  <r>
    <x v="0"/>
    <d v="2023-02-03T00:00:00"/>
    <d v="2023-02-24T00:00:00"/>
    <x v="7"/>
    <n v="9"/>
    <n v="63"/>
    <n v="1391.1942737059592"/>
    <n v="1371.0212071439194"/>
    <n v="86374.336050066922"/>
    <n v="87645.239243475429"/>
    <n v="-1270.9031934085069"/>
    <n v="-104.16662310398942"/>
    <n v="-1375.0698165124963"/>
    <n v="0"/>
    <n v="0"/>
    <n v="0"/>
    <n v="-1375.0698165124963"/>
  </r>
  <r>
    <x v="1"/>
    <d v="2023-03-03T00:00:00"/>
    <d v="2023-03-24T00:00:00"/>
    <x v="7"/>
    <n v="9"/>
    <n v="63"/>
    <n v="1391.1942737059592"/>
    <n v="1371.0212071439194"/>
    <n v="86374.336050066922"/>
    <n v="87645.239243475429"/>
    <n v="-1270.9031934085069"/>
    <n v="-104.16662310398942"/>
    <n v="-1375.0698165124963"/>
    <n v="0"/>
    <n v="0"/>
    <n v="0"/>
    <n v="-1375.0698165124963"/>
  </r>
  <r>
    <x v="2"/>
    <d v="2023-04-05T00:00:00"/>
    <d v="2023-04-24T00:00:00"/>
    <x v="7"/>
    <n v="9"/>
    <n v="67"/>
    <n v="1391.1942737059592"/>
    <n v="1371.0212071439194"/>
    <n v="91858.420878642602"/>
    <n v="93210.016338299261"/>
    <n v="-1351.5954596566589"/>
    <n v="-110.78037695186178"/>
    <n v="-1462.3758366085208"/>
    <n v="0"/>
    <n v="0"/>
    <n v="0"/>
    <n v="-1462.3758366085208"/>
  </r>
  <r>
    <x v="3"/>
    <d v="2023-05-03T00:00:00"/>
    <d v="2023-05-24T00:00:00"/>
    <x v="7"/>
    <n v="9"/>
    <n v="62"/>
    <n v="1391.1942737059592"/>
    <n v="1371.0212071439194"/>
    <n v="85003.314842923006"/>
    <n v="86254.044969769471"/>
    <n v="-1250.7301268464653"/>
    <n v="-102.51318464202134"/>
    <n v="-1353.2433114884866"/>
    <n v="0"/>
    <n v="0"/>
    <n v="0"/>
    <n v="-1353.2433114884866"/>
  </r>
  <r>
    <x v="4"/>
    <d v="2023-06-05T00:00:00"/>
    <d v="2023-06-26T00:00:00"/>
    <x v="7"/>
    <n v="9"/>
    <n v="51"/>
    <n v="1391.1942737059592"/>
    <n v="1371.0212071439194"/>
    <n v="69922.081564339882"/>
    <n v="70950.907959003918"/>
    <n v="-1028.8263946640363"/>
    <n v="-84.325361560372386"/>
    <n v="-1113.1517562244087"/>
    <n v="0"/>
    <n v="0"/>
    <n v="0"/>
    <n v="-1113.1517562244087"/>
  </r>
  <r>
    <x v="5"/>
    <d v="2023-07-05T00:00:00"/>
    <d v="2023-07-24T00:00:00"/>
    <x v="7"/>
    <n v="9"/>
    <n v="67"/>
    <n v="1391.1942737059592"/>
    <n v="1371.0212071439194"/>
    <n v="91858.420878642602"/>
    <n v="93210.016338299261"/>
    <n v="-1351.5954596566589"/>
    <n v="-110.78037695186178"/>
    <n v="-1462.3758366085208"/>
    <n v="0"/>
    <n v="0"/>
    <n v="0"/>
    <n v="-1462.3758366085208"/>
  </r>
  <r>
    <x v="6"/>
    <d v="2023-08-03T00:00:00"/>
    <d v="2023-08-24T00:00:00"/>
    <x v="7"/>
    <n v="9"/>
    <n v="66"/>
    <n v="1391.1942737059592"/>
    <n v="1371.0212071439194"/>
    <n v="90487.399671498672"/>
    <n v="91818.822064593303"/>
    <n v="-1331.4223930946318"/>
    <n v="-109.12693848989369"/>
    <n v="-1440.5493315845256"/>
    <n v="0"/>
    <n v="0"/>
    <n v="0"/>
    <n v="-1440.5493315845256"/>
  </r>
  <r>
    <x v="7"/>
    <d v="2023-09-05T00:00:00"/>
    <d v="2023-09-25T00:00:00"/>
    <x v="7"/>
    <n v="9"/>
    <n v="61"/>
    <n v="1391.1942737059592"/>
    <n v="1371.0212071439194"/>
    <n v="83632.293635779075"/>
    <n v="84862.850696063513"/>
    <n v="-1230.5570602844382"/>
    <n v="-100.85974618005325"/>
    <n v="-1331.4168064644914"/>
    <n v="0"/>
    <n v="0"/>
    <n v="0"/>
    <n v="-1331.4168064644914"/>
  </r>
  <r>
    <x v="8"/>
    <d v="2023-10-04T00:00:00"/>
    <d v="2023-10-24T00:00:00"/>
    <x v="7"/>
    <n v="9"/>
    <n v="55"/>
    <n v="1391.1942737059592"/>
    <n v="1371.0212071439194"/>
    <n v="75406.166392915562"/>
    <n v="76515.68505382775"/>
    <n v="-1109.5186609121884"/>
    <n v="-90.939115408244746"/>
    <n v="-1200.4577763204331"/>
    <n v="0"/>
    <n v="0"/>
    <n v="0"/>
    <n v="-1200.4577763204331"/>
  </r>
  <r>
    <x v="9"/>
    <d v="2023-11-03T00:00:00"/>
    <d v="2023-11-24T00:00:00"/>
    <x v="7"/>
    <n v="9"/>
    <n v="59"/>
    <n v="1391.1942737059592"/>
    <n v="1371.0212071439194"/>
    <n v="80890.251221491242"/>
    <n v="82080.462148651597"/>
    <n v="-1190.2109271603549"/>
    <n v="-97.552869256117077"/>
    <n v="-1287.7637964164719"/>
    <n v="0"/>
    <n v="0"/>
    <n v="0"/>
    <n v="-1287.7637964164719"/>
  </r>
  <r>
    <x v="10"/>
    <d v="2023-12-06T00:00:00"/>
    <d v="2023-12-25T00:00:00"/>
    <x v="7"/>
    <n v="9"/>
    <n v="63"/>
    <n v="1391.1942737059592"/>
    <n v="1371.0212071439194"/>
    <n v="86374.336050066922"/>
    <n v="87645.239243475429"/>
    <n v="-1270.9031934085069"/>
    <n v="-104.16662310398942"/>
    <n v="-1375.0698165124963"/>
    <n v="0"/>
    <n v="0"/>
    <n v="0"/>
    <n v="-1375.0698165124963"/>
  </r>
  <r>
    <x v="11"/>
    <d v="2024-01-03T00:00:00"/>
    <d v="2024-01-24T00:00:00"/>
    <x v="7"/>
    <n v="9"/>
    <n v="63"/>
    <n v="1391.1942737059592"/>
    <n v="1371.0212071439194"/>
    <n v="86374.336050066922"/>
    <n v="87645.239243475429"/>
    <n v="-1270.9031934085069"/>
    <n v="-104.16662310398942"/>
    <n v="-1375.0698165124963"/>
    <n v="0"/>
    <n v="0"/>
    <n v="0"/>
    <n v="-1375.0698165124963"/>
  </r>
  <r>
    <x v="0"/>
    <d v="2023-02-03T00:00:00"/>
    <d v="2023-02-24T00:00:00"/>
    <x v="8"/>
    <n v="9"/>
    <n v="967"/>
    <n v="1391.1942737059592"/>
    <n v="1371.0212071439194"/>
    <n v="1325777.50730817"/>
    <n v="1345284.8626736626"/>
    <n v="-19507.355365492636"/>
    <n v="-1598.8749927231393"/>
    <n v="-21106.230358215777"/>
    <n v="0"/>
    <n v="0"/>
    <n v="0"/>
    <n v="-21106.230358215777"/>
  </r>
  <r>
    <x v="1"/>
    <d v="2023-03-03T00:00:00"/>
    <d v="2023-03-24T00:00:00"/>
    <x v="8"/>
    <n v="9"/>
    <n v="955"/>
    <n v="1391.1942737059592"/>
    <n v="1371.0212071439194"/>
    <n v="1309325.2528224429"/>
    <n v="1328590.531389191"/>
    <n v="-19265.278566748137"/>
    <n v="-1579.0337311795224"/>
    <n v="-20844.31229792766"/>
    <n v="0"/>
    <n v="0"/>
    <n v="0"/>
    <n v="-20844.31229792766"/>
  </r>
  <r>
    <x v="2"/>
    <d v="2023-04-05T00:00:00"/>
    <d v="2023-04-24T00:00:00"/>
    <x v="8"/>
    <n v="9"/>
    <n v="872"/>
    <n v="1391.1942737059592"/>
    <n v="1371.0212071439194"/>
    <n v="1195530.4926294978"/>
    <n v="1213121.4066715965"/>
    <n v="-17590.914042098681"/>
    <n v="-1441.7983388361711"/>
    <n v="-19032.712380934852"/>
    <n v="0"/>
    <n v="0"/>
    <n v="0"/>
    <n v="-19032.712380934852"/>
  </r>
  <r>
    <x v="3"/>
    <d v="2023-05-03T00:00:00"/>
    <d v="2023-05-24T00:00:00"/>
    <x v="8"/>
    <n v="9"/>
    <n v="602"/>
    <n v="1391.1942737059592"/>
    <n v="1371.0212071439194"/>
    <n v="825354.76670063951"/>
    <n v="837498.95277098741"/>
    <n v="-12144.186070347903"/>
    <n v="-995.36995410478789"/>
    <n v="-13139.556024452691"/>
    <n v="0"/>
    <n v="0"/>
    <n v="0"/>
    <n v="-13139.556024452691"/>
  </r>
  <r>
    <x v="4"/>
    <d v="2023-06-05T00:00:00"/>
    <d v="2023-06-26T00:00:00"/>
    <x v="8"/>
    <n v="9"/>
    <n v="711"/>
    <n v="1391.1942737059592"/>
    <n v="1371.0212071439194"/>
    <n v="974796.07827932667"/>
    <n v="989139.128604937"/>
    <n v="-14343.050325610326"/>
    <n v="-1175.5947464593091"/>
    <n v="-15518.645072069634"/>
    <n v="0"/>
    <n v="0"/>
    <n v="0"/>
    <n v="-15518.645072069634"/>
  </r>
  <r>
    <x v="5"/>
    <d v="2023-07-05T00:00:00"/>
    <d v="2023-07-24T00:00:00"/>
    <x v="8"/>
    <n v="9"/>
    <n v="936"/>
    <n v="1391.1942737059592"/>
    <n v="1371.0212071439194"/>
    <n v="1283275.8498867084"/>
    <n v="1302157.8401887778"/>
    <n v="-18881.990302069345"/>
    <n v="-1547.6184004021288"/>
    <n v="-20429.608702471472"/>
    <n v="0"/>
    <n v="0"/>
    <n v="0"/>
    <n v="-20429.608702471472"/>
  </r>
  <r>
    <x v="6"/>
    <d v="2023-08-03T00:00:00"/>
    <d v="2023-08-24T00:00:00"/>
    <x v="8"/>
    <n v="9"/>
    <n v="932"/>
    <n v="1391.1942737059592"/>
    <n v="1371.0212071439194"/>
    <n v="1277791.7650581328"/>
    <n v="1296593.063093954"/>
    <n v="-18801.298035821179"/>
    <n v="-1541.0046465542564"/>
    <n v="-20342.302682375434"/>
    <n v="0"/>
    <n v="0"/>
    <n v="0"/>
    <n v="-20342.302682375434"/>
  </r>
  <r>
    <x v="7"/>
    <d v="2023-09-05T00:00:00"/>
    <d v="2023-09-25T00:00:00"/>
    <x v="8"/>
    <n v="9"/>
    <n v="1025"/>
    <n v="1391.1942737059592"/>
    <n v="1371.0212071439194"/>
    <n v="1405296.7373225174"/>
    <n v="1425974.1305486083"/>
    <n v="-20677.393226090819"/>
    <n v="-1694.7744235172884"/>
    <n v="-22372.167649608105"/>
    <n v="0"/>
    <n v="0"/>
    <n v="0"/>
    <n v="-22372.167649608105"/>
  </r>
  <r>
    <x v="8"/>
    <d v="2023-10-04T00:00:00"/>
    <d v="2023-10-24T00:00:00"/>
    <x v="8"/>
    <n v="9"/>
    <n v="934"/>
    <n v="1391.1942737059592"/>
    <n v="1371.0212071439194"/>
    <n v="1280533.8074724206"/>
    <n v="1299375.4516413659"/>
    <n v="-18841.644168945262"/>
    <n v="-1544.3115234781924"/>
    <n v="-20385.955692423453"/>
    <n v="0"/>
    <n v="0"/>
    <n v="0"/>
    <n v="-20385.955692423453"/>
  </r>
  <r>
    <x v="9"/>
    <d v="2023-11-03T00:00:00"/>
    <d v="2023-11-24T00:00:00"/>
    <x v="8"/>
    <n v="9"/>
    <n v="700"/>
    <n v="1391.1942737059592"/>
    <n v="1371.0212071439194"/>
    <n v="959714.84500074352"/>
    <n v="973835.99159417138"/>
    <n v="-14121.146593427868"/>
    <n v="-1157.4069233776604"/>
    <n v="-15278.553516805528"/>
    <n v="0"/>
    <n v="0"/>
    <n v="0"/>
    <n v="-15278.553516805528"/>
  </r>
  <r>
    <x v="10"/>
    <d v="2023-12-06T00:00:00"/>
    <d v="2023-12-25T00:00:00"/>
    <x v="8"/>
    <n v="9"/>
    <n v="867"/>
    <n v="1391.1942737059592"/>
    <n v="1371.0212071439194"/>
    <n v="1188675.3865937782"/>
    <n v="1206165.4353030666"/>
    <n v="-17490.048709288472"/>
    <n v="-1433.5311465263308"/>
    <n v="-18923.579855814802"/>
    <n v="0"/>
    <n v="0"/>
    <n v="0"/>
    <n v="-18923.579855814802"/>
  </r>
  <r>
    <x v="11"/>
    <d v="2024-01-03T00:00:00"/>
    <d v="2024-01-24T00:00:00"/>
    <x v="8"/>
    <n v="9"/>
    <n v="916"/>
    <n v="1391.1942737059592"/>
    <n v="1371.0212071439194"/>
    <n v="1255855.4257438302"/>
    <n v="1274333.9547146587"/>
    <n v="-18478.528970828513"/>
    <n v="-1514.5496311627671"/>
    <n v="-19993.078601991281"/>
    <n v="0"/>
    <n v="0"/>
    <n v="0"/>
    <n v="-19993.078601991281"/>
  </r>
  <r>
    <x v="0"/>
    <d v="2023-02-03T00:00:00"/>
    <d v="2023-02-24T00:00:00"/>
    <x v="9"/>
    <n v="9"/>
    <n v="6"/>
    <n v="1391.1942737059592"/>
    <n v="1371.0212071439194"/>
    <n v="8226.1272428635166"/>
    <n v="8347.1656422357555"/>
    <n v="-121.03839937223893"/>
    <n v="-9.9206307718085167"/>
    <n v="-130.95903014404743"/>
    <n v="0"/>
    <n v="0"/>
    <n v="0"/>
    <n v="-130.95903014404743"/>
  </r>
  <r>
    <x v="1"/>
    <d v="2023-03-03T00:00:00"/>
    <d v="2023-03-24T00:00:00"/>
    <x v="9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2"/>
    <d v="2023-04-05T00:00:00"/>
    <d v="2023-04-24T00:00:00"/>
    <x v="9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3"/>
    <d v="2023-05-03T00:00:00"/>
    <d v="2023-05-24T00:00:00"/>
    <x v="9"/>
    <n v="9"/>
    <n v="7"/>
    <n v="1391.1942737059592"/>
    <n v="1371.0212071439194"/>
    <n v="9597.1484500074348"/>
    <n v="9738.3599159417136"/>
    <n v="-141.21146593427875"/>
    <n v="-11.574069233776603"/>
    <n v="-152.78553516805536"/>
    <n v="0"/>
    <n v="0"/>
    <n v="0"/>
    <n v="-152.78553516805536"/>
  </r>
  <r>
    <x v="4"/>
    <d v="2023-06-05T00:00:00"/>
    <d v="2023-06-26T00:00:00"/>
    <x v="9"/>
    <n v="9"/>
    <n v="4"/>
    <n v="1391.1942737059592"/>
    <n v="1371.0212071439194"/>
    <n v="5484.0848285756774"/>
    <n v="5564.7770948238367"/>
    <n v="-80.692266248159285"/>
    <n v="-6.6137538478723439"/>
    <n v="-87.306020096031631"/>
    <n v="0"/>
    <n v="0"/>
    <n v="0"/>
    <n v="-87.306020096031631"/>
  </r>
  <r>
    <x v="5"/>
    <d v="2023-07-05T00:00:00"/>
    <d v="2023-07-24T00:00:00"/>
    <x v="9"/>
    <n v="9"/>
    <n v="14"/>
    <n v="1391.1942737059592"/>
    <n v="1371.0212071439194"/>
    <n v="19194.29690001487"/>
    <n v="19476.719831883427"/>
    <n v="-282.4229318685575"/>
    <n v="-23.148138467553206"/>
    <n v="-305.57107033611072"/>
    <n v="0"/>
    <n v="0"/>
    <n v="0"/>
    <n v="-305.57107033611072"/>
  </r>
  <r>
    <x v="6"/>
    <d v="2023-08-03T00:00:00"/>
    <d v="2023-08-24T00:00:00"/>
    <x v="9"/>
    <n v="9"/>
    <n v="13"/>
    <n v="1391.1942737059592"/>
    <n v="1371.0212071439194"/>
    <n v="17823.275692870953"/>
    <n v="18085.525558177469"/>
    <n v="-262.24986530651586"/>
    <n v="-21.49470000558512"/>
    <n v="-283.74456531210097"/>
    <n v="0"/>
    <n v="0"/>
    <n v="0"/>
    <n v="-283.74456531210097"/>
  </r>
  <r>
    <x v="7"/>
    <d v="2023-09-05T00:00:00"/>
    <d v="2023-09-25T00:00:00"/>
    <x v="9"/>
    <n v="9"/>
    <n v="19"/>
    <n v="1391.1942737059592"/>
    <n v="1371.0212071439194"/>
    <n v="26049.402935734466"/>
    <n v="26432.691200413225"/>
    <n v="-383.28826467875842"/>
    <n v="-31.415330777393638"/>
    <n v="-414.70359545615207"/>
    <n v="0"/>
    <n v="0"/>
    <n v="0"/>
    <n v="-414.70359545615207"/>
  </r>
  <r>
    <x v="8"/>
    <d v="2023-10-04T00:00:00"/>
    <d v="2023-10-24T00:00:00"/>
    <x v="9"/>
    <n v="9"/>
    <n v="18"/>
    <n v="1391.1942737059592"/>
    <n v="1371.0212071439194"/>
    <n v="24678.38172859055"/>
    <n v="25041.496926707267"/>
    <n v="-363.11519811671678"/>
    <n v="-29.761892315425552"/>
    <n v="-392.87709043214232"/>
    <n v="0"/>
    <n v="0"/>
    <n v="0"/>
    <n v="-392.87709043214232"/>
  </r>
  <r>
    <x v="9"/>
    <d v="2023-11-03T00:00:00"/>
    <d v="2023-11-24T00:00:00"/>
    <x v="9"/>
    <n v="9"/>
    <n v="6"/>
    <n v="1391.1942737059592"/>
    <n v="1371.0212071439194"/>
    <n v="8226.1272428635166"/>
    <n v="8347.1656422357555"/>
    <n v="-121.03839937223893"/>
    <n v="-9.9206307718085167"/>
    <n v="-130.95903014404743"/>
    <n v="0"/>
    <n v="0"/>
    <n v="0"/>
    <n v="-130.95903014404743"/>
  </r>
  <r>
    <x v="10"/>
    <d v="2023-12-06T00:00:00"/>
    <d v="2023-12-25T00:00:00"/>
    <x v="9"/>
    <n v="9"/>
    <n v="6"/>
    <n v="1391.1942737059592"/>
    <n v="1371.0212071439194"/>
    <n v="8226.1272428635166"/>
    <n v="8347.1656422357555"/>
    <n v="-121.03839937223893"/>
    <n v="-9.9206307718085167"/>
    <n v="-130.95903014404743"/>
    <n v="0"/>
    <n v="0"/>
    <n v="0"/>
    <n v="-130.95903014404743"/>
  </r>
  <r>
    <x v="11"/>
    <d v="2024-01-03T00:00:00"/>
    <d v="2024-01-24T00:00:00"/>
    <x v="9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0"/>
    <d v="2023-02-03T00:00:00"/>
    <d v="2023-02-24T00:00:00"/>
    <x v="10"/>
    <n v="9"/>
    <n v="4"/>
    <n v="1391.1942737059592"/>
    <n v="1371.0212071439194"/>
    <n v="5484.0848285756774"/>
    <n v="5564.7770948238367"/>
    <n v="-80.692266248159285"/>
    <n v="-6.6137538478723439"/>
    <n v="-87.306020096031631"/>
    <n v="0"/>
    <n v="0"/>
    <n v="0"/>
    <n v="-87.306020096031631"/>
  </r>
  <r>
    <x v="1"/>
    <d v="2023-03-03T00:00:00"/>
    <d v="2023-03-24T00:00:00"/>
    <x v="10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2"/>
    <d v="2023-04-05T00:00:00"/>
    <d v="2023-04-24T00:00:00"/>
    <x v="10"/>
    <n v="9"/>
    <n v="1"/>
    <n v="1391.1942737059592"/>
    <n v="1371.0212071439194"/>
    <n v="1371.0212071439194"/>
    <n v="1391.1942737059592"/>
    <n v="-20.173066562039821"/>
    <n v="-1.653438461968086"/>
    <n v="-21.826505024007908"/>
    <n v="0"/>
    <n v="0"/>
    <n v="0"/>
    <n v="-21.826505024007908"/>
  </r>
  <r>
    <x v="3"/>
    <d v="2023-05-03T00:00:00"/>
    <d v="2023-05-24T00:00:00"/>
    <x v="10"/>
    <n v="9"/>
    <n v="7"/>
    <n v="1391.1942737059592"/>
    <n v="1371.0212071439194"/>
    <n v="9597.1484500074348"/>
    <n v="9738.3599159417136"/>
    <n v="-141.21146593427875"/>
    <n v="-11.574069233776603"/>
    <n v="-152.78553516805536"/>
    <n v="0"/>
    <n v="0"/>
    <n v="0"/>
    <n v="-152.78553516805536"/>
  </r>
  <r>
    <x v="4"/>
    <d v="2023-06-05T00:00:00"/>
    <d v="2023-06-26T00:00:00"/>
    <x v="10"/>
    <n v="9"/>
    <n v="3"/>
    <n v="1391.1942737059592"/>
    <n v="1371.0212071439194"/>
    <n v="4113.0636214317583"/>
    <n v="4173.5828211178778"/>
    <n v="-60.519199686119464"/>
    <n v="-4.9603153859042584"/>
    <n v="-65.479515072023716"/>
    <n v="0"/>
    <n v="0"/>
    <n v="0"/>
    <n v="-65.479515072023716"/>
  </r>
  <r>
    <x v="5"/>
    <d v="2023-07-05T00:00:00"/>
    <d v="2023-07-24T00:00:00"/>
    <x v="10"/>
    <n v="9"/>
    <n v="7"/>
    <n v="1391.1942737059592"/>
    <n v="1371.0212071439194"/>
    <n v="9597.1484500074348"/>
    <n v="9738.3599159417136"/>
    <n v="-141.21146593427875"/>
    <n v="-11.574069233776603"/>
    <n v="-152.78553516805536"/>
    <n v="0"/>
    <n v="0"/>
    <n v="0"/>
    <n v="-152.78553516805536"/>
  </r>
  <r>
    <x v="6"/>
    <d v="2023-08-03T00:00:00"/>
    <d v="2023-08-24T00:00:00"/>
    <x v="10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7"/>
    <d v="2023-09-05T00:00:00"/>
    <d v="2023-09-25T00:00:00"/>
    <x v="10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8"/>
    <d v="2023-10-04T00:00:00"/>
    <d v="2023-10-24T00:00:00"/>
    <x v="10"/>
    <n v="9"/>
    <n v="6"/>
    <n v="1391.1942737059592"/>
    <n v="1371.0212071439194"/>
    <n v="8226.1272428635166"/>
    <n v="8347.1656422357555"/>
    <n v="-121.03839937223893"/>
    <n v="-9.9206307718085167"/>
    <n v="-130.95903014404743"/>
    <n v="0"/>
    <n v="0"/>
    <n v="0"/>
    <n v="-130.95903014404743"/>
  </r>
  <r>
    <x v="9"/>
    <d v="2023-11-03T00:00:00"/>
    <d v="2023-11-24T00:00:00"/>
    <x v="10"/>
    <n v="9"/>
    <n v="5"/>
    <n v="1391.1942737059592"/>
    <n v="1371.0212071439194"/>
    <n v="6855.1060357195965"/>
    <n v="6955.9713685297957"/>
    <n v="-100.86533281019911"/>
    <n v="-8.2671923098404303"/>
    <n v="-109.13252512003953"/>
    <n v="0"/>
    <n v="0"/>
    <n v="0"/>
    <n v="-109.13252512003953"/>
  </r>
  <r>
    <x v="10"/>
    <d v="2023-12-06T00:00:00"/>
    <d v="2023-12-25T00:00:00"/>
    <x v="10"/>
    <n v="9"/>
    <n v="4"/>
    <n v="1391.1942737059592"/>
    <n v="1371.0212071439194"/>
    <n v="5484.0848285756774"/>
    <n v="5564.7770948238367"/>
    <n v="-80.692266248159285"/>
    <n v="-6.6137538478723439"/>
    <n v="-87.306020096031631"/>
    <n v="0"/>
    <n v="0"/>
    <n v="0"/>
    <n v="-87.306020096031631"/>
  </r>
  <r>
    <x v="11"/>
    <d v="2024-01-03T00:00:00"/>
    <d v="2024-01-24T00:00:00"/>
    <x v="10"/>
    <n v="9"/>
    <n v="4"/>
    <n v="1391.1942737059592"/>
    <n v="1371.0212071439194"/>
    <n v="5484.0848285756774"/>
    <n v="5564.7770948238367"/>
    <n v="-80.692266248159285"/>
    <n v="-6.6137538478723439"/>
    <n v="-87.306020096031631"/>
    <n v="0"/>
    <n v="0"/>
    <n v="0"/>
    <n v="-87.306020096031631"/>
  </r>
  <r>
    <x v="0"/>
    <d v="2023-02-03T00:00:00"/>
    <d v="2023-02-24T00:00:00"/>
    <x v="11"/>
    <n v="9"/>
    <n v="113"/>
    <n v="1391.1942737059592"/>
    <n v="1371.0212071439194"/>
    <n v="154925.39640726289"/>
    <n v="157204.95292877339"/>
    <n v="-2279.5565215105016"/>
    <n v="-186.83854620239373"/>
    <n v="-2466.3950677128955"/>
    <n v="0"/>
    <n v="0"/>
    <n v="0"/>
    <n v="-2466.3950677128955"/>
  </r>
  <r>
    <x v="1"/>
    <d v="2023-03-03T00:00:00"/>
    <d v="2023-03-24T00:00:00"/>
    <x v="11"/>
    <n v="9"/>
    <n v="108"/>
    <n v="1391.1942737059592"/>
    <n v="1371.0212071439194"/>
    <n v="148070.29037154329"/>
    <n v="150248.98156024358"/>
    <n v="-2178.6911887002934"/>
    <n v="-178.57135389255333"/>
    <n v="-2357.2625425928468"/>
    <n v="0"/>
    <n v="0"/>
    <n v="0"/>
    <n v="-2357.2625425928468"/>
  </r>
  <r>
    <x v="2"/>
    <d v="2023-04-05T00:00:00"/>
    <d v="2023-04-24T00:00:00"/>
    <x v="11"/>
    <n v="9"/>
    <n v="96"/>
    <n v="1391.1942737059592"/>
    <n v="1371.0212071439194"/>
    <n v="131618.03588581627"/>
    <n v="133554.65027577209"/>
    <n v="-1936.6143899558228"/>
    <n v="-158.73009234893627"/>
    <n v="-2095.3444823047589"/>
    <n v="0"/>
    <n v="0"/>
    <n v="0"/>
    <n v="-2095.3444823047589"/>
  </r>
  <r>
    <x v="3"/>
    <d v="2023-05-03T00:00:00"/>
    <d v="2023-05-24T00:00:00"/>
    <x v="11"/>
    <n v="9"/>
    <n v="91"/>
    <n v="1391.1942737059592"/>
    <n v="1371.0212071439194"/>
    <n v="124762.92985009665"/>
    <n v="126598.67890724228"/>
    <n v="-1835.7490571456292"/>
    <n v="-150.46290003909584"/>
    <n v="-1986.211957184725"/>
    <n v="0"/>
    <n v="0"/>
    <n v="0"/>
    <n v="-1986.211957184725"/>
  </r>
  <r>
    <x v="4"/>
    <d v="2023-06-05T00:00:00"/>
    <d v="2023-06-26T00:00:00"/>
    <x v="11"/>
    <n v="9"/>
    <n v="125"/>
    <n v="1391.1942737059592"/>
    <n v="1371.0212071439194"/>
    <n v="171377.65089298991"/>
    <n v="173899.28421324489"/>
    <n v="-2521.6333202549722"/>
    <n v="-206.67980774601077"/>
    <n v="-2728.3131280009829"/>
    <n v="0"/>
    <n v="0"/>
    <n v="0"/>
    <n v="-2728.3131280009829"/>
  </r>
  <r>
    <x v="5"/>
    <d v="2023-07-05T00:00:00"/>
    <d v="2023-07-24T00:00:00"/>
    <x v="11"/>
    <n v="9"/>
    <n v="167"/>
    <n v="1391.1942737059592"/>
    <n v="1371.0212071439194"/>
    <n v="228960.54159303452"/>
    <n v="232329.44370889518"/>
    <n v="-3368.9021158606629"/>
    <n v="-276.12422314867041"/>
    <n v="-3645.0263390093332"/>
    <n v="0"/>
    <n v="0"/>
    <n v="0"/>
    <n v="-3645.0263390093332"/>
  </r>
  <r>
    <x v="6"/>
    <d v="2023-08-03T00:00:00"/>
    <d v="2023-08-24T00:00:00"/>
    <x v="11"/>
    <n v="9"/>
    <n v="160"/>
    <n v="1391.1942737059592"/>
    <n v="1371.0212071439194"/>
    <n v="219363.39314302709"/>
    <n v="222591.08379295346"/>
    <n v="-3227.6906499263714"/>
    <n v="-264.55015391489377"/>
    <n v="-3492.240803841265"/>
    <n v="0"/>
    <n v="0"/>
    <n v="0"/>
    <n v="-3492.240803841265"/>
  </r>
  <r>
    <x v="7"/>
    <d v="2023-09-05T00:00:00"/>
    <d v="2023-09-25T00:00:00"/>
    <x v="11"/>
    <n v="9"/>
    <n v="181"/>
    <n v="1391.1942737059592"/>
    <n v="1371.0212071439194"/>
    <n v="248154.83849304941"/>
    <n v="251806.16354077862"/>
    <n v="-3651.3250477292167"/>
    <n v="-299.27236161622358"/>
    <n v="-3950.5974093454402"/>
    <n v="0"/>
    <n v="0"/>
    <n v="0"/>
    <n v="-3950.5974093454402"/>
  </r>
  <r>
    <x v="8"/>
    <d v="2023-10-04T00:00:00"/>
    <d v="2023-10-24T00:00:00"/>
    <x v="11"/>
    <n v="9"/>
    <n v="157"/>
    <n v="1391.1942737059592"/>
    <n v="1371.0212071439194"/>
    <n v="215250.32952159533"/>
    <n v="218417.5009718356"/>
    <n v="-3167.1714502402756"/>
    <n v="-259.5898385289895"/>
    <n v="-3426.7612887692649"/>
    <n v="0"/>
    <n v="0"/>
    <n v="0"/>
    <n v="-3426.7612887692649"/>
  </r>
  <r>
    <x v="9"/>
    <d v="2023-11-03T00:00:00"/>
    <d v="2023-11-24T00:00:00"/>
    <x v="11"/>
    <n v="9"/>
    <n v="118"/>
    <n v="1391.1942737059592"/>
    <n v="1371.0212071439194"/>
    <n v="161780.50244298248"/>
    <n v="164160.92429730319"/>
    <n v="-2380.4218543207098"/>
    <n v="-195.10573851223415"/>
    <n v="-2575.5275928329438"/>
    <n v="0"/>
    <n v="0"/>
    <n v="0"/>
    <n v="-2575.5275928329438"/>
  </r>
  <r>
    <x v="10"/>
    <d v="2023-12-06T00:00:00"/>
    <d v="2023-12-25T00:00:00"/>
    <x v="11"/>
    <n v="9"/>
    <n v="102"/>
    <n v="1391.1942737059592"/>
    <n v="1371.0212071439194"/>
    <n v="139844.16312867976"/>
    <n v="141901.81591800784"/>
    <n v="-2057.6527893280727"/>
    <n v="-168.65072312074477"/>
    <n v="-2226.3035124488174"/>
    <n v="0"/>
    <n v="0"/>
    <n v="0"/>
    <n v="-2226.3035124488174"/>
  </r>
  <r>
    <x v="11"/>
    <d v="2024-01-03T00:00:00"/>
    <d v="2024-01-24T00:00:00"/>
    <x v="11"/>
    <n v="9"/>
    <n v="99"/>
    <n v="1391.1942737059592"/>
    <n v="1371.0212071439194"/>
    <n v="135731.09950724803"/>
    <n v="137728.23309688995"/>
    <n v="-1997.1335896419187"/>
    <n v="-163.69040773484053"/>
    <n v="-2160.8239973767591"/>
    <n v="0"/>
    <n v="0"/>
    <n v="0"/>
    <n v="-2160.8239973767591"/>
  </r>
  <r>
    <x v="0"/>
    <d v="2023-02-03T00:00:00"/>
    <d v="2023-02-24T00:00:00"/>
    <x v="12"/>
    <n v="9"/>
    <n v="7"/>
    <n v="1391.1942737059592"/>
    <n v="1371.0212071439194"/>
    <n v="9597.1484500074348"/>
    <n v="9738.3599159417136"/>
    <n v="-141.21146593427875"/>
    <n v="-11.574069233776603"/>
    <n v="-152.78553516805536"/>
    <n v="0"/>
    <n v="0"/>
    <n v="0"/>
    <n v="-152.78553516805536"/>
  </r>
  <r>
    <x v="1"/>
    <d v="2023-03-03T00:00:00"/>
    <d v="2023-03-24T00:00:00"/>
    <x v="12"/>
    <n v="9"/>
    <n v="10"/>
    <n v="1391.1942737059592"/>
    <n v="1371.0212071439194"/>
    <n v="13710.212071439193"/>
    <n v="13911.942737059591"/>
    <n v="-201.73066562039821"/>
    <n v="-16.534384619680861"/>
    <n v="-218.26505024007906"/>
    <n v="0"/>
    <n v="0"/>
    <n v="0"/>
    <n v="-218.26505024007906"/>
  </r>
  <r>
    <x v="2"/>
    <d v="2023-04-05T00:00:00"/>
    <d v="2023-04-24T00:00:00"/>
    <x v="12"/>
    <n v="9"/>
    <n v="8"/>
    <n v="1391.1942737059592"/>
    <n v="1371.0212071439194"/>
    <n v="10968.169657151355"/>
    <n v="11129.554189647673"/>
    <n v="-161.38453249631857"/>
    <n v="-13.227507695744688"/>
    <n v="-174.61204019206326"/>
    <n v="0"/>
    <n v="0"/>
    <n v="0"/>
    <n v="-174.61204019206326"/>
  </r>
  <r>
    <x v="3"/>
    <d v="2023-05-03T00:00:00"/>
    <d v="2023-05-24T00:00:00"/>
    <x v="12"/>
    <n v="9"/>
    <n v="8"/>
    <n v="1391.1942737059592"/>
    <n v="1371.0212071439194"/>
    <n v="10968.169657151355"/>
    <n v="11129.554189647673"/>
    <n v="-161.38453249631857"/>
    <n v="-13.227507695744688"/>
    <n v="-174.61204019206326"/>
    <n v="0"/>
    <n v="0"/>
    <n v="0"/>
    <n v="-174.61204019206326"/>
  </r>
  <r>
    <x v="4"/>
    <d v="2023-06-05T00:00:00"/>
    <d v="2023-06-26T00:00:00"/>
    <x v="12"/>
    <n v="9"/>
    <n v="10"/>
    <n v="1391.1942737059592"/>
    <n v="1371.0212071439194"/>
    <n v="13710.212071439193"/>
    <n v="13911.942737059591"/>
    <n v="-201.73066562039821"/>
    <n v="-16.534384619680861"/>
    <n v="-218.26505024007906"/>
    <n v="0"/>
    <n v="0"/>
    <n v="0"/>
    <n v="-218.26505024007906"/>
  </r>
  <r>
    <x v="5"/>
    <d v="2023-07-05T00:00:00"/>
    <d v="2023-07-24T00:00:00"/>
    <x v="12"/>
    <n v="9"/>
    <n v="12"/>
    <n v="1391.1942737059592"/>
    <n v="1371.0212071439194"/>
    <n v="16452.254485727033"/>
    <n v="16694.331284471511"/>
    <n v="-242.07679874447786"/>
    <n v="-19.841261543617033"/>
    <n v="-261.91806028809486"/>
    <n v="0"/>
    <n v="0"/>
    <n v="0"/>
    <n v="-261.91806028809486"/>
  </r>
  <r>
    <x v="6"/>
    <d v="2023-08-03T00:00:00"/>
    <d v="2023-08-24T00:00:00"/>
    <x v="12"/>
    <n v="9"/>
    <n v="14"/>
    <n v="1391.1942737059592"/>
    <n v="1371.0212071439194"/>
    <n v="19194.29690001487"/>
    <n v="19476.719831883427"/>
    <n v="-282.4229318685575"/>
    <n v="-23.148138467553206"/>
    <n v="-305.57107033611072"/>
    <n v="0"/>
    <n v="0"/>
    <n v="0"/>
    <n v="-305.57107033611072"/>
  </r>
  <r>
    <x v="7"/>
    <d v="2023-09-05T00:00:00"/>
    <d v="2023-09-25T00:00:00"/>
    <x v="12"/>
    <n v="9"/>
    <n v="13"/>
    <n v="1391.1942737059592"/>
    <n v="1371.0212071439194"/>
    <n v="17823.275692870953"/>
    <n v="18085.525558177469"/>
    <n v="-262.24986530651586"/>
    <n v="-21.49470000558512"/>
    <n v="-283.74456531210097"/>
    <n v="0"/>
    <n v="0"/>
    <n v="0"/>
    <n v="-283.74456531210097"/>
  </r>
  <r>
    <x v="8"/>
    <d v="2023-10-04T00:00:00"/>
    <d v="2023-10-24T00:00:00"/>
    <x v="12"/>
    <n v="9"/>
    <n v="13"/>
    <n v="1391.1942737059592"/>
    <n v="1371.0212071439194"/>
    <n v="17823.275692870953"/>
    <n v="18085.525558177469"/>
    <n v="-262.24986530651586"/>
    <n v="-21.49470000558512"/>
    <n v="-283.74456531210097"/>
    <n v="0"/>
    <n v="0"/>
    <n v="0"/>
    <n v="-283.74456531210097"/>
  </r>
  <r>
    <x v="9"/>
    <d v="2023-11-03T00:00:00"/>
    <d v="2023-11-24T00:00:00"/>
    <x v="12"/>
    <n v="9"/>
    <n v="11"/>
    <n v="1391.1942737059592"/>
    <n v="1371.0212071439194"/>
    <n v="15081.233278583113"/>
    <n v="15303.137010765551"/>
    <n v="-221.90373218243803"/>
    <n v="-18.187823081648951"/>
    <n v="-240.09155526408699"/>
    <n v="0"/>
    <n v="0"/>
    <n v="0"/>
    <n v="-240.09155526408699"/>
  </r>
  <r>
    <x v="10"/>
    <d v="2023-12-06T00:00:00"/>
    <d v="2023-12-25T00:00:00"/>
    <x v="12"/>
    <n v="9"/>
    <n v="7"/>
    <n v="1391.1942737059592"/>
    <n v="1371.0212071439194"/>
    <n v="9597.1484500074348"/>
    <n v="9738.3599159417136"/>
    <n v="-141.21146593427875"/>
    <n v="-11.574069233776603"/>
    <n v="-152.78553516805536"/>
    <n v="0"/>
    <n v="0"/>
    <n v="0"/>
    <n v="-152.78553516805536"/>
  </r>
  <r>
    <x v="11"/>
    <d v="2024-01-03T00:00:00"/>
    <d v="2024-01-24T00:00:00"/>
    <x v="12"/>
    <n v="9"/>
    <n v="8"/>
    <n v="1391.1942737059592"/>
    <n v="1371.0212071439194"/>
    <n v="10968.169657151355"/>
    <n v="11129.554189647673"/>
    <n v="-161.38453249631857"/>
    <n v="-13.227507695744688"/>
    <n v="-174.61204019206326"/>
    <n v="0"/>
    <n v="0"/>
    <n v="0"/>
    <n v="-174.61204019206326"/>
  </r>
  <r>
    <x v="0"/>
    <d v="2023-02-03T00:00:00"/>
    <d v="2023-02-24T00:00:00"/>
    <x v="13"/>
    <n v="9"/>
    <n v="21"/>
    <n v="1391.1942737059592"/>
    <n v="1371.0212071439194"/>
    <n v="28791.445350022306"/>
    <n v="29215.079747825144"/>
    <n v="-423.63439780283807"/>
    <n v="-34.722207701329808"/>
    <n v="-458.35660550416787"/>
    <n v="0"/>
    <n v="0"/>
    <n v="0"/>
    <n v="-458.35660550416787"/>
  </r>
  <r>
    <x v="1"/>
    <d v="2023-03-03T00:00:00"/>
    <d v="2023-03-24T00:00:00"/>
    <x v="13"/>
    <n v="9"/>
    <n v="21"/>
    <n v="1391.1942737059592"/>
    <n v="1371.0212071439194"/>
    <n v="28791.445350022306"/>
    <n v="29215.079747825144"/>
    <n v="-423.63439780283807"/>
    <n v="-34.722207701329808"/>
    <n v="-458.35660550416787"/>
    <n v="0"/>
    <n v="0"/>
    <n v="0"/>
    <n v="-458.35660550416787"/>
  </r>
  <r>
    <x v="2"/>
    <d v="2023-04-05T00:00:00"/>
    <d v="2023-04-24T00:00:00"/>
    <x v="13"/>
    <n v="9"/>
    <n v="19"/>
    <n v="1391.1942737059592"/>
    <n v="1371.0212071439194"/>
    <n v="26049.402935734466"/>
    <n v="26432.691200413225"/>
    <n v="-383.28826467875842"/>
    <n v="-31.415330777393638"/>
    <n v="-414.70359545615207"/>
    <n v="0"/>
    <n v="0"/>
    <n v="0"/>
    <n v="-414.70359545615207"/>
  </r>
  <r>
    <x v="3"/>
    <d v="2023-05-03T00:00:00"/>
    <d v="2023-05-24T00:00:00"/>
    <x v="13"/>
    <n v="9"/>
    <n v="21"/>
    <n v="1391.1942737059592"/>
    <n v="1371.0212071439194"/>
    <n v="28791.445350022306"/>
    <n v="29215.079747825144"/>
    <n v="-423.63439780283807"/>
    <n v="-34.722207701329808"/>
    <n v="-458.35660550416787"/>
    <n v="0"/>
    <n v="0"/>
    <n v="0"/>
    <n v="-458.35660550416787"/>
  </r>
  <r>
    <x v="4"/>
    <d v="2023-06-05T00:00:00"/>
    <d v="2023-06-26T00:00:00"/>
    <x v="13"/>
    <n v="9"/>
    <n v="28"/>
    <n v="1391.1942737059592"/>
    <n v="1371.0212071439194"/>
    <n v="38388.593800029739"/>
    <n v="38953.439663766854"/>
    <n v="-564.845863737115"/>
    <n v="-46.296276935106413"/>
    <n v="-611.14214067222144"/>
    <n v="0"/>
    <n v="0"/>
    <n v="0"/>
    <n v="-611.14214067222144"/>
  </r>
  <r>
    <x v="5"/>
    <d v="2023-07-05T00:00:00"/>
    <d v="2023-07-24T00:00:00"/>
    <x v="13"/>
    <n v="9"/>
    <n v="37"/>
    <n v="1391.1942737059592"/>
    <n v="1371.0212071439194"/>
    <n v="50727.784664325016"/>
    <n v="51474.188127120491"/>
    <n v="-746.40346279547521"/>
    <n v="-61.177223092819183"/>
    <n v="-807.5806858882944"/>
    <n v="0"/>
    <n v="0"/>
    <n v="0"/>
    <n v="-807.5806858882944"/>
  </r>
  <r>
    <x v="6"/>
    <d v="2023-08-03T00:00:00"/>
    <d v="2023-08-24T00:00:00"/>
    <x v="13"/>
    <n v="9"/>
    <n v="38"/>
    <n v="1391.1942737059592"/>
    <n v="1371.0212071439194"/>
    <n v="52098.805871468932"/>
    <n v="52865.382400826449"/>
    <n v="-766.57652935751685"/>
    <n v="-62.830661554787277"/>
    <n v="-829.40719091230415"/>
    <n v="0"/>
    <n v="0"/>
    <n v="0"/>
    <n v="-829.40719091230415"/>
  </r>
  <r>
    <x v="7"/>
    <d v="2023-09-05T00:00:00"/>
    <d v="2023-09-25T00:00:00"/>
    <x v="13"/>
    <n v="9"/>
    <n v="40"/>
    <n v="1391.1942737059592"/>
    <n v="1371.0212071439194"/>
    <n v="54840.848285756772"/>
    <n v="55647.770948238365"/>
    <n v="-806.92266248159285"/>
    <n v="-66.137538478723442"/>
    <n v="-873.06020096031625"/>
    <n v="0"/>
    <n v="0"/>
    <n v="0"/>
    <n v="-873.06020096031625"/>
  </r>
  <r>
    <x v="8"/>
    <d v="2023-10-04T00:00:00"/>
    <d v="2023-10-24T00:00:00"/>
    <x v="13"/>
    <n v="9"/>
    <n v="37"/>
    <n v="1391.1942737059592"/>
    <n v="1371.0212071439194"/>
    <n v="50727.784664325016"/>
    <n v="51474.188127120491"/>
    <n v="-746.40346279547521"/>
    <n v="-61.177223092819183"/>
    <n v="-807.5806858882944"/>
    <n v="0"/>
    <n v="0"/>
    <n v="0"/>
    <n v="-807.5806858882944"/>
  </r>
  <r>
    <x v="9"/>
    <d v="2023-11-03T00:00:00"/>
    <d v="2023-11-24T00:00:00"/>
    <x v="13"/>
    <n v="9"/>
    <n v="30"/>
    <n v="1391.1942737059592"/>
    <n v="1371.0212071439194"/>
    <n v="41130.636214317579"/>
    <n v="41735.828211178778"/>
    <n v="-605.19199686119828"/>
    <n v="-49.603153859042585"/>
    <n v="-654.79515072024083"/>
    <n v="0"/>
    <n v="0"/>
    <n v="0"/>
    <n v="-654.79515072024083"/>
  </r>
  <r>
    <x v="10"/>
    <d v="2023-12-06T00:00:00"/>
    <d v="2023-12-25T00:00:00"/>
    <x v="13"/>
    <n v="9"/>
    <n v="19"/>
    <n v="1391.1942737059592"/>
    <n v="1371.0212071439194"/>
    <n v="26049.402935734466"/>
    <n v="26432.691200413225"/>
    <n v="-383.28826467875842"/>
    <n v="-31.415330777393638"/>
    <n v="-414.70359545615207"/>
    <n v="0"/>
    <n v="0"/>
    <n v="0"/>
    <n v="-414.70359545615207"/>
  </r>
  <r>
    <x v="11"/>
    <d v="2024-01-03T00:00:00"/>
    <d v="2024-01-24T00:00:00"/>
    <x v="13"/>
    <n v="9"/>
    <n v="20"/>
    <n v="1391.1942737059592"/>
    <n v="1371.0212071439194"/>
    <n v="27420.424142878386"/>
    <n v="27823.885474119183"/>
    <n v="-403.46133124079643"/>
    <n v="-33.068769239361721"/>
    <n v="-436.53010048015813"/>
    <n v="0"/>
    <n v="0"/>
    <n v="0"/>
    <n v="-436.53010048015813"/>
  </r>
  <r>
    <x v="0"/>
    <d v="2023-02-03T00:00:00"/>
    <d v="2023-02-24T00:00:00"/>
    <x v="14"/>
    <n v="9"/>
    <n v="36"/>
    <n v="1391.1942737059592"/>
    <n v="1371.0212071439194"/>
    <n v="49356.7634571811"/>
    <n v="50082.993853414533"/>
    <n v="-726.23039623343357"/>
    <n v="-59.523784630851104"/>
    <n v="-785.75418086428465"/>
    <n v="0"/>
    <n v="0"/>
    <n v="0"/>
    <n v="-785.75418086428465"/>
  </r>
  <r>
    <x v="1"/>
    <d v="2023-03-03T00:00:00"/>
    <d v="2023-03-24T00:00:00"/>
    <x v="14"/>
    <n v="9"/>
    <n v="32"/>
    <n v="1391.1942737059592"/>
    <n v="1371.0212071439194"/>
    <n v="43872.678628605419"/>
    <n v="44518.216758590694"/>
    <n v="-645.53812998527428"/>
    <n v="-52.910030782978751"/>
    <n v="-698.44816076825305"/>
    <n v="0"/>
    <n v="0"/>
    <n v="0"/>
    <n v="-698.44816076825305"/>
  </r>
  <r>
    <x v="2"/>
    <d v="2023-04-05T00:00:00"/>
    <d v="2023-04-24T00:00:00"/>
    <x v="14"/>
    <n v="9"/>
    <n v="32"/>
    <n v="1391.1942737059592"/>
    <n v="1371.0212071439194"/>
    <n v="43872.678628605419"/>
    <n v="44518.216758590694"/>
    <n v="-645.53812998527428"/>
    <n v="-52.910030782978751"/>
    <n v="-698.44816076825305"/>
    <n v="0"/>
    <n v="0"/>
    <n v="0"/>
    <n v="-698.44816076825305"/>
  </r>
  <r>
    <x v="3"/>
    <d v="2023-05-03T00:00:00"/>
    <d v="2023-05-24T00:00:00"/>
    <x v="14"/>
    <n v="9"/>
    <n v="31"/>
    <n v="1391.1942737059592"/>
    <n v="1371.0212071439194"/>
    <n v="42501.657421461503"/>
    <n v="43127.022484884736"/>
    <n v="-625.36506342323264"/>
    <n v="-51.256592321010672"/>
    <n v="-676.6216557442433"/>
    <n v="0"/>
    <n v="0"/>
    <n v="0"/>
    <n v="-676.6216557442433"/>
  </r>
  <r>
    <x v="4"/>
    <d v="2023-06-05T00:00:00"/>
    <d v="2023-06-26T00:00:00"/>
    <x v="14"/>
    <n v="9"/>
    <n v="38"/>
    <n v="1391.1942737059592"/>
    <n v="1371.0212071439194"/>
    <n v="52098.805871468932"/>
    <n v="52865.382400826449"/>
    <n v="-766.57652935751685"/>
    <n v="-62.830661554787277"/>
    <n v="-829.40719091230415"/>
    <n v="0"/>
    <n v="0"/>
    <n v="0"/>
    <n v="-829.40719091230415"/>
  </r>
  <r>
    <x v="5"/>
    <d v="2023-07-05T00:00:00"/>
    <d v="2023-07-24T00:00:00"/>
    <x v="14"/>
    <n v="9"/>
    <n v="48"/>
    <n v="1391.1942737059592"/>
    <n v="1371.0212071439194"/>
    <n v="65809.017942908133"/>
    <n v="66777.325137886044"/>
    <n v="-968.30719497791142"/>
    <n v="-79.365046174468134"/>
    <n v="-1047.6722411523795"/>
    <n v="0"/>
    <n v="0"/>
    <n v="0"/>
    <n v="-1047.6722411523795"/>
  </r>
  <r>
    <x v="6"/>
    <d v="2023-08-03T00:00:00"/>
    <d v="2023-08-24T00:00:00"/>
    <x v="14"/>
    <n v="9"/>
    <n v="49"/>
    <n v="1391.1942737059592"/>
    <n v="1371.0212071439194"/>
    <n v="67180.039150052049"/>
    <n v="68168.519411592002"/>
    <n v="-988.48026153995306"/>
    <n v="-81.018484636436213"/>
    <n v="-1069.4987461763892"/>
    <n v="0"/>
    <n v="0"/>
    <n v="0"/>
    <n v="-1069.4987461763892"/>
  </r>
  <r>
    <x v="7"/>
    <d v="2023-09-05T00:00:00"/>
    <d v="2023-09-25T00:00:00"/>
    <x v="14"/>
    <n v="9"/>
    <n v="50"/>
    <n v="1391.1942737059592"/>
    <n v="1371.0212071439194"/>
    <n v="68551.060357195965"/>
    <n v="69559.71368529796"/>
    <n v="-1008.6533281019947"/>
    <n v="-82.671923098404307"/>
    <n v="-1091.325251200399"/>
    <n v="0"/>
    <n v="0"/>
    <n v="0"/>
    <n v="-1091.325251200399"/>
  </r>
  <r>
    <x v="8"/>
    <d v="2023-10-04T00:00:00"/>
    <d v="2023-10-24T00:00:00"/>
    <x v="14"/>
    <n v="9"/>
    <n v="47"/>
    <n v="1391.1942737059592"/>
    <n v="1371.0212071439194"/>
    <n v="64437.996735764209"/>
    <n v="65386.130864180079"/>
    <n v="-948.13412841586978"/>
    <n v="-77.711607712500054"/>
    <n v="-1025.8457361283699"/>
    <n v="0"/>
    <n v="0"/>
    <n v="0"/>
    <n v="-1025.8457361283699"/>
  </r>
  <r>
    <x v="9"/>
    <d v="2023-11-03T00:00:00"/>
    <d v="2023-11-24T00:00:00"/>
    <x v="14"/>
    <n v="9"/>
    <n v="36"/>
    <n v="1391.1942737059592"/>
    <n v="1371.0212071439194"/>
    <n v="49356.7634571811"/>
    <n v="50082.993853414533"/>
    <n v="-726.23039623343357"/>
    <n v="-59.523784630851104"/>
    <n v="-785.75418086428465"/>
    <n v="0"/>
    <n v="0"/>
    <n v="0"/>
    <n v="-785.75418086428465"/>
  </r>
  <r>
    <x v="10"/>
    <d v="2023-12-06T00:00:00"/>
    <d v="2023-12-25T00:00:00"/>
    <x v="14"/>
    <n v="9"/>
    <n v="26"/>
    <n v="1391.1942737059592"/>
    <n v="1371.0212071439194"/>
    <n v="35646.551385741906"/>
    <n v="36171.051116354938"/>
    <n v="-524.49973061303172"/>
    <n v="-42.98940001117024"/>
    <n v="-567.48913062420195"/>
    <n v="0"/>
    <n v="0"/>
    <n v="0"/>
    <n v="-567.48913062420195"/>
  </r>
  <r>
    <x v="11"/>
    <d v="2024-01-03T00:00:00"/>
    <d v="2024-01-24T00:00:00"/>
    <x v="14"/>
    <n v="9"/>
    <n v="31"/>
    <n v="1391.1942737059592"/>
    <n v="1371.0212071439194"/>
    <n v="42501.657421461503"/>
    <n v="43127.022484884736"/>
    <n v="-625.36506342323264"/>
    <n v="-51.256592321010672"/>
    <n v="-676.6216557442433"/>
    <n v="0"/>
    <n v="0"/>
    <n v="0"/>
    <n v="-676.6216557442433"/>
  </r>
  <r>
    <x v="0"/>
    <d v="2023-02-03T00:00:00"/>
    <d v="2023-02-24T00:00:00"/>
    <x v="15"/>
    <n v="9"/>
    <n v="104"/>
    <n v="1391.1942737059592"/>
    <n v="1371.0212071439194"/>
    <n v="142586.20554296763"/>
    <n v="144684.20446541975"/>
    <n v="-2097.9989224521269"/>
    <n v="-171.95760004468096"/>
    <n v="-2269.9565224968078"/>
    <n v="0"/>
    <n v="0"/>
    <n v="0"/>
    <n v="-2269.9565224968078"/>
  </r>
  <r>
    <x v="1"/>
    <d v="2023-03-03T00:00:00"/>
    <d v="2023-03-24T00:00:00"/>
    <x v="15"/>
    <n v="9"/>
    <n v="107"/>
    <n v="1391.1942737059592"/>
    <n v="1371.0212071439194"/>
    <n v="146699.26916439936"/>
    <n v="148857.78728653764"/>
    <n v="-2158.5181221382809"/>
    <n v="-176.91791543058523"/>
    <n v="-2335.4360375688661"/>
    <n v="0"/>
    <n v="0"/>
    <n v="0"/>
    <n v="-2335.4360375688661"/>
  </r>
  <r>
    <x v="2"/>
    <d v="2023-04-05T00:00:00"/>
    <d v="2023-04-24T00:00:00"/>
    <x v="15"/>
    <n v="9"/>
    <n v="103"/>
    <n v="1391.1942737059592"/>
    <n v="1371.0212071439194"/>
    <n v="141215.18433582369"/>
    <n v="143293.01019171381"/>
    <n v="-2077.8258558901143"/>
    <n v="-170.30416158271288"/>
    <n v="-2248.1300174728271"/>
    <n v="0"/>
    <n v="0"/>
    <n v="0"/>
    <n v="-2248.1300174728271"/>
  </r>
  <r>
    <x v="3"/>
    <d v="2023-05-03T00:00:00"/>
    <d v="2023-05-24T00:00:00"/>
    <x v="15"/>
    <n v="9"/>
    <n v="98"/>
    <n v="1391.1942737059592"/>
    <n v="1371.0212071439194"/>
    <n v="134360.0783001041"/>
    <n v="136337.038823184"/>
    <n v="-1976.9605230799061"/>
    <n v="-162.03696927287243"/>
    <n v="-2138.9974923527784"/>
    <n v="0"/>
    <n v="0"/>
    <n v="0"/>
    <n v="-2138.9974923527784"/>
  </r>
  <r>
    <x v="4"/>
    <d v="2023-06-05T00:00:00"/>
    <d v="2023-06-26T00:00:00"/>
    <x v="15"/>
    <n v="9"/>
    <n v="105"/>
    <n v="1391.1942737059592"/>
    <n v="1371.0212071439194"/>
    <n v="143957.22675011153"/>
    <n v="146075.39873912573"/>
    <n v="-2118.1719890141976"/>
    <n v="-173.61103850664904"/>
    <n v="-2291.7830275208466"/>
    <n v="0"/>
    <n v="0"/>
    <n v="0"/>
    <n v="-2291.7830275208466"/>
  </r>
  <r>
    <x v="5"/>
    <d v="2023-07-05T00:00:00"/>
    <d v="2023-07-24T00:00:00"/>
    <x v="15"/>
    <n v="9"/>
    <n v="115"/>
    <n v="1391.1942737059592"/>
    <n v="1371.0212071439194"/>
    <n v="157667.43882155072"/>
    <n v="159987.34147618531"/>
    <n v="-2319.9026546345849"/>
    <n v="-190.14542312632989"/>
    <n v="-2510.0480777609146"/>
    <n v="0"/>
    <n v="0"/>
    <n v="0"/>
    <n v="-2510.0480777609146"/>
  </r>
  <r>
    <x v="6"/>
    <d v="2023-08-03T00:00:00"/>
    <d v="2023-08-24T00:00:00"/>
    <x v="15"/>
    <n v="9"/>
    <n v="110"/>
    <n v="1391.1942737059592"/>
    <n v="1371.0212071439194"/>
    <n v="150812.33278583112"/>
    <n v="153031.3701076555"/>
    <n v="-2219.0373218243767"/>
    <n v="-181.87823081648949"/>
    <n v="-2400.9155526408663"/>
    <n v="0"/>
    <n v="0"/>
    <n v="0"/>
    <n v="-2400.9155526408663"/>
  </r>
  <r>
    <x v="7"/>
    <d v="2023-09-05T00:00:00"/>
    <d v="2023-09-25T00:00:00"/>
    <x v="15"/>
    <n v="9"/>
    <n v="109"/>
    <n v="1391.1942737059592"/>
    <n v="1371.0212071439194"/>
    <n v="149441.31157868722"/>
    <n v="151640.17583394956"/>
    <n v="-2198.8642552623351"/>
    <n v="-180.22479235452138"/>
    <n v="-2379.0890476168565"/>
    <n v="0"/>
    <n v="0"/>
    <n v="0"/>
    <n v="-2379.0890476168565"/>
  </r>
  <r>
    <x v="8"/>
    <d v="2023-10-04T00:00:00"/>
    <d v="2023-10-24T00:00:00"/>
    <x v="15"/>
    <n v="9"/>
    <n v="112"/>
    <n v="1391.1942737059592"/>
    <n v="1371.0212071439194"/>
    <n v="153554.37520011896"/>
    <n v="155813.75865506742"/>
    <n v="-2259.38345494846"/>
    <n v="-185.18510774042565"/>
    <n v="-2444.5685626888858"/>
    <n v="0"/>
    <n v="0"/>
    <n v="0"/>
    <n v="-2444.5685626888858"/>
  </r>
  <r>
    <x v="9"/>
    <d v="2023-11-03T00:00:00"/>
    <d v="2023-11-24T00:00:00"/>
    <x v="15"/>
    <n v="9"/>
    <n v="107"/>
    <n v="1391.1942737059592"/>
    <n v="1371.0212071439194"/>
    <n v="146699.26916439936"/>
    <n v="148857.78728653764"/>
    <n v="-2158.5181221382809"/>
    <n v="-176.91791543058523"/>
    <n v="-2335.4360375688661"/>
    <n v="0"/>
    <n v="0"/>
    <n v="0"/>
    <n v="-2335.4360375688661"/>
  </r>
  <r>
    <x v="10"/>
    <d v="2023-12-06T00:00:00"/>
    <d v="2023-12-25T00:00:00"/>
    <x v="15"/>
    <n v="9"/>
    <n v="104"/>
    <n v="1391.1942737059592"/>
    <n v="1371.0212071439194"/>
    <n v="142586.20554296763"/>
    <n v="144684.20446541975"/>
    <n v="-2097.9989224521269"/>
    <n v="-171.95760004468096"/>
    <n v="-2269.9565224968078"/>
    <n v="0"/>
    <n v="0"/>
    <n v="0"/>
    <n v="-2269.9565224968078"/>
  </r>
  <r>
    <x v="11"/>
    <d v="2024-01-03T00:00:00"/>
    <d v="2024-01-24T00:00:00"/>
    <x v="15"/>
    <n v="9"/>
    <n v="101"/>
    <n v="1391.1942737059592"/>
    <n v="1371.0212071439194"/>
    <n v="138473.14192153586"/>
    <n v="140510.62164430186"/>
    <n v="-2037.4797227660019"/>
    <n v="-166.99728465877672"/>
    <n v="-2204.4770074247785"/>
    <n v="0"/>
    <n v="0"/>
    <n v="0"/>
    <n v="-2204.47700742477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6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E19" sqref="E19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65</v>
      </c>
    </row>
    <row r="3" spans="1:2" x14ac:dyDescent="0.25">
      <c r="A3" s="2">
        <v>1</v>
      </c>
      <c r="B3" s="3" t="s">
        <v>67</v>
      </c>
    </row>
    <row r="4" spans="1:2" ht="13" x14ac:dyDescent="0.3">
      <c r="A4" s="2">
        <v>2</v>
      </c>
      <c r="B4" s="3" t="s">
        <v>66</v>
      </c>
    </row>
    <row r="5" spans="1:2" ht="13" x14ac:dyDescent="0.3">
      <c r="A5" s="2">
        <v>3</v>
      </c>
      <c r="B5" s="3" t="s">
        <v>68</v>
      </c>
    </row>
    <row r="6" spans="1:2" ht="13" x14ac:dyDescent="0.3">
      <c r="A6" s="2">
        <v>4</v>
      </c>
      <c r="B6" s="4" t="s">
        <v>82</v>
      </c>
    </row>
    <row r="7" spans="1:2" x14ac:dyDescent="0.25">
      <c r="A7" s="2">
        <v>5</v>
      </c>
      <c r="B7" s="3" t="s">
        <v>69</v>
      </c>
    </row>
    <row r="8" spans="1:2" x14ac:dyDescent="0.25">
      <c r="A8" s="2">
        <v>6</v>
      </c>
      <c r="B8" s="3" t="s">
        <v>70</v>
      </c>
    </row>
    <row r="9" spans="1:2" x14ac:dyDescent="0.25">
      <c r="A9" s="2">
        <v>7</v>
      </c>
      <c r="B9" s="5" t="s">
        <v>71</v>
      </c>
    </row>
    <row r="10" spans="1:2" ht="13" x14ac:dyDescent="0.3">
      <c r="A10" s="2">
        <v>8</v>
      </c>
      <c r="B10" s="3" t="s">
        <v>74</v>
      </c>
    </row>
    <row r="11" spans="1:2" x14ac:dyDescent="0.25">
      <c r="A11" s="2"/>
      <c r="B11" s="3" t="s">
        <v>75</v>
      </c>
    </row>
    <row r="12" spans="1:2" x14ac:dyDescent="0.25">
      <c r="A12" s="2"/>
      <c r="B12" s="5" t="s">
        <v>76</v>
      </c>
    </row>
    <row r="13" spans="1:2" x14ac:dyDescent="0.25">
      <c r="A13" s="2"/>
      <c r="B13" s="5" t="s">
        <v>77</v>
      </c>
    </row>
    <row r="14" spans="1:2" x14ac:dyDescent="0.25">
      <c r="A14" s="2">
        <v>9</v>
      </c>
      <c r="B14" s="3" t="s">
        <v>78</v>
      </c>
    </row>
    <row r="15" spans="1:2" x14ac:dyDescent="0.25">
      <c r="A15" s="2">
        <v>10</v>
      </c>
      <c r="B15" s="3" t="s">
        <v>80</v>
      </c>
    </row>
    <row r="16" spans="1:2" x14ac:dyDescent="0.25">
      <c r="A16" s="2">
        <v>11</v>
      </c>
      <c r="B16" s="3" t="s">
        <v>81</v>
      </c>
    </row>
    <row r="17" spans="1:1" x14ac:dyDescent="0.25">
      <c r="A17" s="2"/>
    </row>
  </sheetData>
  <phoneticPr fontId="6" type="noConversion"/>
  <pageMargins left="0.5" right="0.5" top="1" bottom="1" header="0.5" footer="0.5"/>
  <pageSetup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A57A-EE43-448F-BDFB-C3C880068082}">
  <dimension ref="A1:E22"/>
  <sheetViews>
    <sheetView tabSelected="1" workbookViewId="0">
      <selection activeCell="E19" sqref="E19"/>
    </sheetView>
  </sheetViews>
  <sheetFormatPr defaultRowHeight="12.5" x14ac:dyDescent="0.25"/>
  <cols>
    <col min="1" max="1" width="42.08984375" style="234" customWidth="1"/>
    <col min="2" max="2" width="6" style="234" bestFit="1" customWidth="1"/>
    <col min="3" max="3" width="14.1796875" style="234" bestFit="1" customWidth="1"/>
    <col min="4" max="4" width="12.7265625" style="234" bestFit="1" customWidth="1"/>
    <col min="5" max="5" width="10.54296875" style="234" bestFit="1" customWidth="1"/>
    <col min="6" max="16384" width="8.7265625" style="234"/>
  </cols>
  <sheetData>
    <row r="1" spans="1:5" x14ac:dyDescent="0.25">
      <c r="C1" s="234" t="s">
        <v>101</v>
      </c>
      <c r="D1" s="234" t="s">
        <v>102</v>
      </c>
      <c r="E1" s="234" t="s">
        <v>100</v>
      </c>
    </row>
    <row r="2" spans="1:5" ht="37.5" x14ac:dyDescent="0.25">
      <c r="A2" s="234" t="s">
        <v>104</v>
      </c>
      <c r="B2" s="258" t="s">
        <v>105</v>
      </c>
      <c r="C2" s="235">
        <v>7842433.8857229836</v>
      </c>
      <c r="D2" s="235">
        <v>72427.982171012627</v>
      </c>
      <c r="E2" s="236">
        <f>C2+D2</f>
        <v>7914861.8678939966</v>
      </c>
    </row>
    <row r="3" spans="1:5" ht="13" thickBot="1" x14ac:dyDescent="0.3"/>
    <row r="4" spans="1:5" x14ac:dyDescent="0.25">
      <c r="A4" s="237" t="s">
        <v>14</v>
      </c>
      <c r="B4" s="238">
        <f>0.074+0.018</f>
        <v>9.1999999999999998E-2</v>
      </c>
      <c r="C4" s="236">
        <f>$C$2*B4</f>
        <v>721503.91748651443</v>
      </c>
      <c r="D4" s="236">
        <f>$D$2*B4</f>
        <v>6663.3743597331613</v>
      </c>
      <c r="E4" s="236">
        <f t="shared" ref="E4:E20" si="0">C4+D4</f>
        <v>728167.29184624762</v>
      </c>
    </row>
    <row r="5" spans="1:5" x14ac:dyDescent="0.25">
      <c r="A5" s="239" t="s">
        <v>87</v>
      </c>
      <c r="B5" s="240">
        <v>5.0000000000000001E-3</v>
      </c>
      <c r="C5" s="236">
        <f t="shared" ref="C5:C16" si="1">$C$2*B5</f>
        <v>39212.169428614921</v>
      </c>
      <c r="D5" s="236">
        <f t="shared" ref="D5:D16" si="2">$D$2*B5</f>
        <v>362.13991085506314</v>
      </c>
      <c r="E5" s="236">
        <f t="shared" si="0"/>
        <v>39574.309339469983</v>
      </c>
    </row>
    <row r="6" spans="1:5" x14ac:dyDescent="0.25">
      <c r="A6" s="239" t="s">
        <v>56</v>
      </c>
      <c r="B6" s="240">
        <v>1.4999999999999999E-2</v>
      </c>
      <c r="C6" s="236">
        <f t="shared" si="1"/>
        <v>117636.50828584476</v>
      </c>
      <c r="D6" s="236">
        <f t="shared" si="2"/>
        <v>1086.4197325651894</v>
      </c>
      <c r="E6" s="236">
        <f t="shared" si="0"/>
        <v>118722.92801840995</v>
      </c>
    </row>
    <row r="7" spans="1:5" x14ac:dyDescent="0.25">
      <c r="A7" s="241" t="s">
        <v>17</v>
      </c>
      <c r="B7" s="238">
        <v>1.2999999999999999E-2</v>
      </c>
      <c r="C7" s="236">
        <f t="shared" si="1"/>
        <v>101951.64051439878</v>
      </c>
      <c r="D7" s="236">
        <f t="shared" si="2"/>
        <v>941.56376822316406</v>
      </c>
      <c r="E7" s="236">
        <f t="shared" si="0"/>
        <v>102893.20428262194</v>
      </c>
    </row>
    <row r="8" spans="1:5" x14ac:dyDescent="0.25">
      <c r="A8" s="239" t="s">
        <v>13</v>
      </c>
      <c r="B8" s="240">
        <v>0.10199999999999999</v>
      </c>
      <c r="C8" s="236">
        <f t="shared" si="1"/>
        <v>799928.25634374423</v>
      </c>
      <c r="D8" s="236">
        <f t="shared" si="2"/>
        <v>7387.6541814432876</v>
      </c>
      <c r="E8" s="236">
        <f t="shared" si="0"/>
        <v>807315.9105251875</v>
      </c>
    </row>
    <row r="9" spans="1:5" x14ac:dyDescent="0.25">
      <c r="A9" s="241" t="s">
        <v>15</v>
      </c>
      <c r="B9" s="238">
        <v>1E-3</v>
      </c>
      <c r="C9" s="236">
        <f t="shared" si="1"/>
        <v>7842.4338857229841</v>
      </c>
      <c r="D9" s="236">
        <f t="shared" si="2"/>
        <v>72.42798217101263</v>
      </c>
      <c r="E9" s="236">
        <f t="shared" si="0"/>
        <v>7914.8618678939965</v>
      </c>
    </row>
    <row r="10" spans="1:5" x14ac:dyDescent="0.25">
      <c r="A10" s="241" t="s">
        <v>59</v>
      </c>
      <c r="B10" s="238">
        <v>5.0000000000000001E-3</v>
      </c>
      <c r="C10" s="236">
        <f t="shared" si="1"/>
        <v>39212.169428614921</v>
      </c>
      <c r="D10" s="236">
        <f t="shared" si="2"/>
        <v>362.13991085506314</v>
      </c>
      <c r="E10" s="236">
        <f t="shared" si="0"/>
        <v>39574.309339469983</v>
      </c>
    </row>
    <row r="11" spans="1:5" x14ac:dyDescent="0.25">
      <c r="A11" s="241" t="s">
        <v>16</v>
      </c>
      <c r="B11" s="238">
        <v>0</v>
      </c>
      <c r="C11" s="236">
        <f t="shared" si="1"/>
        <v>0</v>
      </c>
      <c r="D11" s="236">
        <f t="shared" si="2"/>
        <v>0</v>
      </c>
      <c r="E11" s="236">
        <f t="shared" si="0"/>
        <v>0</v>
      </c>
    </row>
    <row r="12" spans="1:5" x14ac:dyDescent="0.25">
      <c r="A12" s="239" t="s">
        <v>58</v>
      </c>
      <c r="B12" s="240">
        <v>3.0000000000000001E-3</v>
      </c>
      <c r="C12" s="236">
        <f t="shared" si="1"/>
        <v>23527.301657168951</v>
      </c>
      <c r="D12" s="236">
        <f t="shared" si="2"/>
        <v>217.28394651303788</v>
      </c>
      <c r="E12" s="236">
        <f t="shared" si="0"/>
        <v>23744.58560368199</v>
      </c>
    </row>
    <row r="13" spans="1:5" x14ac:dyDescent="0.25">
      <c r="A13" s="239" t="s">
        <v>19</v>
      </c>
      <c r="B13" s="240">
        <f>0.003+0.002</f>
        <v>5.0000000000000001E-3</v>
      </c>
      <c r="C13" s="236">
        <f t="shared" si="1"/>
        <v>39212.169428614921</v>
      </c>
      <c r="D13" s="236">
        <f t="shared" si="2"/>
        <v>362.13991085506314</v>
      </c>
      <c r="E13" s="236">
        <f t="shared" si="0"/>
        <v>39574.309339469983</v>
      </c>
    </row>
    <row r="14" spans="1:5" x14ac:dyDescent="0.25">
      <c r="A14" s="241" t="s">
        <v>8</v>
      </c>
      <c r="B14" s="238">
        <v>1.2999999999999999E-2</v>
      </c>
      <c r="C14" s="236">
        <f t="shared" si="1"/>
        <v>101951.64051439878</v>
      </c>
      <c r="D14" s="236">
        <f t="shared" si="2"/>
        <v>941.56376822316406</v>
      </c>
      <c r="E14" s="236">
        <f t="shared" si="0"/>
        <v>102893.20428262194</v>
      </c>
    </row>
    <row r="15" spans="1:5" x14ac:dyDescent="0.25">
      <c r="A15" s="241" t="s">
        <v>57</v>
      </c>
      <c r="B15" s="238">
        <v>1E-3</v>
      </c>
      <c r="C15" s="236">
        <f t="shared" si="1"/>
        <v>7842.4338857229841</v>
      </c>
      <c r="D15" s="236">
        <f t="shared" si="2"/>
        <v>72.42798217101263</v>
      </c>
      <c r="E15" s="236">
        <f t="shared" si="0"/>
        <v>7914.8618678939965</v>
      </c>
    </row>
    <row r="16" spans="1:5" x14ac:dyDescent="0.25">
      <c r="A16" s="242" t="s">
        <v>9</v>
      </c>
      <c r="B16" s="238">
        <v>5.0000000000000001E-3</v>
      </c>
      <c r="C16" s="236">
        <f t="shared" si="1"/>
        <v>39212.169428614921</v>
      </c>
      <c r="D16" s="236">
        <f t="shared" si="2"/>
        <v>362.13991085506314</v>
      </c>
      <c r="E16" s="236">
        <f t="shared" si="0"/>
        <v>39574.309339469983</v>
      </c>
    </row>
    <row r="17" spans="1:5" ht="23" x14ac:dyDescent="0.25">
      <c r="A17" s="243" t="s">
        <v>44</v>
      </c>
      <c r="B17" s="244"/>
      <c r="C17" s="245">
        <f>SUM(C4:C16)</f>
        <v>2039032.8102879752</v>
      </c>
      <c r="D17" s="245">
        <f>SUM(D4:D16)</f>
        <v>18831.275364463276</v>
      </c>
      <c r="E17" s="245">
        <f>SUM(E4:E16)</f>
        <v>2057864.0856524389</v>
      </c>
    </row>
    <row r="18" spans="1:5" x14ac:dyDescent="0.25">
      <c r="A18" s="246" t="s">
        <v>21</v>
      </c>
      <c r="B18" s="240">
        <v>0.37</v>
      </c>
      <c r="C18" s="236">
        <f>$C$2*B18</f>
        <v>2901700.537717504</v>
      </c>
      <c r="D18" s="236">
        <f>$D$2*B18</f>
        <v>26798.353403274672</v>
      </c>
      <c r="E18" s="236">
        <f t="shared" si="0"/>
        <v>2928498.8911207789</v>
      </c>
    </row>
    <row r="19" spans="1:5" x14ac:dyDescent="0.25">
      <c r="A19" s="241" t="s">
        <v>22</v>
      </c>
      <c r="B19" s="238">
        <v>0.35399999999999998</v>
      </c>
      <c r="C19" s="236">
        <f t="shared" ref="C19:C20" si="3">$C$2*B19</f>
        <v>2776221.5955459359</v>
      </c>
      <c r="D19" s="236">
        <f t="shared" ref="D19:D20" si="4">$D$2*B19</f>
        <v>25639.505688538469</v>
      </c>
      <c r="E19" s="236">
        <f t="shared" si="0"/>
        <v>2801861.1012344742</v>
      </c>
    </row>
    <row r="20" spans="1:5" x14ac:dyDescent="0.25">
      <c r="A20" s="242" t="s">
        <v>83</v>
      </c>
      <c r="B20" s="238">
        <v>1.6E-2</v>
      </c>
      <c r="C20" s="236">
        <f t="shared" si="3"/>
        <v>125478.94217156775</v>
      </c>
      <c r="D20" s="236">
        <f t="shared" si="4"/>
        <v>1158.8477147362021</v>
      </c>
      <c r="E20" s="236">
        <f t="shared" si="0"/>
        <v>126637.78988630394</v>
      </c>
    </row>
    <row r="21" spans="1:5" ht="23" x14ac:dyDescent="0.25">
      <c r="A21" s="243" t="s">
        <v>53</v>
      </c>
      <c r="B21" s="247"/>
      <c r="C21" s="248">
        <f>SUM(C18:C20)</f>
        <v>5803401.0754350079</v>
      </c>
      <c r="D21" s="248">
        <f>SUM(D18:D20)</f>
        <v>53596.706806549337</v>
      </c>
      <c r="E21" s="248">
        <f>SUM(E18:E20)</f>
        <v>5856997.7822415577</v>
      </c>
    </row>
    <row r="22" spans="1:5" ht="13" thickBot="1" x14ac:dyDescent="0.3">
      <c r="A22" s="249" t="s">
        <v>45</v>
      </c>
      <c r="B22" s="250"/>
      <c r="C22" s="236">
        <f>C17+C21</f>
        <v>7842433.8857229836</v>
      </c>
      <c r="D22" s="236">
        <f>D17+D21</f>
        <v>72427.982171012613</v>
      </c>
      <c r="E22" s="236">
        <f>E17+E21</f>
        <v>7914861.8678939966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45"/>
  <sheetViews>
    <sheetView tabSelected="1" topLeftCell="A2" zoomScale="85" zoomScaleNormal="85" zoomScaleSheetLayoutView="100" workbookViewId="0">
      <selection activeCell="E19" sqref="E19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9" t="str">
        <f>+Transactions!B1</f>
        <v>AEPTCo Formula Rate -- FERC Docket ER18-194</v>
      </c>
      <c r="D1" s="259"/>
      <c r="E1" s="259"/>
      <c r="F1" s="259"/>
      <c r="G1" s="259"/>
      <c r="H1" s="259"/>
      <c r="I1" s="259"/>
      <c r="J1" s="6">
        <v>2023</v>
      </c>
    </row>
    <row r="2" spans="2:17" ht="13" x14ac:dyDescent="0.3">
      <c r="C2" s="259" t="s">
        <v>36</v>
      </c>
      <c r="D2" s="259"/>
      <c r="E2" s="259"/>
      <c r="F2" s="259"/>
      <c r="G2" s="259"/>
      <c r="H2" s="259"/>
      <c r="I2" s="259"/>
    </row>
    <row r="3" spans="2:17" ht="13" x14ac:dyDescent="0.3">
      <c r="C3" s="259" t="str">
        <f>"for period 01/01/"&amp;F8&amp;" - 12/31/"&amp;F8</f>
        <v>for period 01/01/2023 - 12/31/2023</v>
      </c>
      <c r="D3" s="259"/>
      <c r="E3" s="259"/>
      <c r="F3" s="259"/>
      <c r="G3" s="259"/>
      <c r="H3" s="259"/>
      <c r="I3" s="259"/>
    </row>
    <row r="4" spans="2:17" ht="13" x14ac:dyDescent="0.3">
      <c r="C4" s="259" t="s">
        <v>85</v>
      </c>
      <c r="D4" s="259"/>
      <c r="E4" s="259"/>
      <c r="F4" s="259"/>
      <c r="G4" s="259"/>
      <c r="H4" s="259"/>
      <c r="I4" s="259"/>
    </row>
    <row r="5" spans="2:17" x14ac:dyDescent="0.25">
      <c r="C5" s="7" t="str">
        <f>"Prepared:  May 24_, "&amp;J1&amp;""</f>
        <v>Prepared:  May 24_, 2023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97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"&amp;F8+1&amp;" Update of May "&amp;F8+1&amp;")"</f>
        <v>(per 2024 Update of May 2024)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152237242.95873654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43</v>
      </c>
      <c r="E12" s="30"/>
      <c r="F12" s="31">
        <f>+Transactions!J2</f>
        <v>140088204.9035514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1391.1942737059592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42</v>
      </c>
      <c r="E14" s="42"/>
      <c r="F14" s="43">
        <f>+Transactions!J3</f>
        <v>1371.0212071439194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96</v>
      </c>
      <c r="I19" s="54" t="s">
        <v>95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52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41</v>
      </c>
      <c r="G20" s="58" t="s">
        <v>7</v>
      </c>
      <c r="H20" s="251" t="s">
        <v>103</v>
      </c>
      <c r="I20" s="59" t="s">
        <v>46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13100107.634260152</v>
      </c>
      <c r="E21" s="62">
        <f>GETPIVOTDATA("Sum of "&amp;T(Transactions!$K$19),Pivot!$A$3,"Customer",C21)</f>
        <v>13292861.285260439</v>
      </c>
      <c r="F21" s="62">
        <f>D21-E21</f>
        <v>-192753.65100028738</v>
      </c>
      <c r="G21" s="51">
        <f>+GETPIVOTDATA("Sum of "&amp;T(Transactions!$M$19),Pivot!$A$3,"Customer","AECC")</f>
        <v>-15798.604504105064</v>
      </c>
      <c r="H21" s="51">
        <f>-'2021 NOLC Refund Detail'!C4</f>
        <v>-721503.91748651443</v>
      </c>
      <c r="I21" s="63">
        <f>F21+G21+H21</f>
        <v>-930056.17299090687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87</v>
      </c>
      <c r="D22" s="62">
        <f>GETPIVOTDATA("Sum of "&amp;T(Transactions!$J$19),Pivot!$A$3,"Customer",C22)</f>
        <v>719786.13375055778</v>
      </c>
      <c r="E22" s="62">
        <f>GETPIVOTDATA("Sum of "&amp;T(Transactions!$K$19),Pivot!$A$3,"Customer",C22)</f>
        <v>730376.99369562848</v>
      </c>
      <c r="F22" s="62">
        <f>D22-E22</f>
        <v>-10590.859945070697</v>
      </c>
      <c r="G22" s="51">
        <f>+GETPIVOTDATA("Sum of "&amp;T(Transactions!$M$19),Pivot!$A$3,"Customer","AECI")</f>
        <v>-868.0551925332453</v>
      </c>
      <c r="H22" s="51">
        <f>-'2021 NOLC Refund Detail'!C5</f>
        <v>-39212.169428614921</v>
      </c>
      <c r="I22" s="63">
        <f t="shared" ref="I22:I33" si="0">F22+G22+H22</f>
        <v>-50671.084566218866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56</v>
      </c>
      <c r="D23" s="62">
        <f>GETPIVOTDATA("Sum of "&amp;T(Transactions!$J$19),Pivot!$A$3,"Customer",C23)</f>
        <v>2079839.1712373255</v>
      </c>
      <c r="E23" s="62">
        <f>GETPIVOTDATA("Sum of "&amp;T(Transactions!$K$19),Pivot!$A$3,"Customer",C23)</f>
        <v>2110441.7132119401</v>
      </c>
      <c r="F23" s="62">
        <f t="shared" ref="F23:F35" si="1">D23-E23</f>
        <v>-30602.541974614607</v>
      </c>
      <c r="G23" s="51">
        <f>+GETPIVOTDATA("Sum of "&amp;T(Transactions!$M$19),Pivot!$A$3,"Customer","Bentonville, AR")</f>
        <v>-2508.2661468055867</v>
      </c>
      <c r="H23" s="51">
        <f>-'2021 NOLC Refund Detail'!C6</f>
        <v>-117636.50828584476</v>
      </c>
      <c r="I23" s="63">
        <f t="shared" si="0"/>
        <v>-150747.31640726497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1748052.0391084973</v>
      </c>
      <c r="E24" s="62">
        <f>GETPIVOTDATA("Sum of "&amp;T(Transactions!$K$19),Pivot!$A$3,"Customer",C24)</f>
        <v>1773772.6989750981</v>
      </c>
      <c r="F24" s="62">
        <f t="shared" si="1"/>
        <v>-25720.659866600763</v>
      </c>
      <c r="G24" s="51">
        <f>+GETPIVOTDATA("Sum of "&amp;T(Transactions!$M$19),Pivot!$A$3,"Customer","Coffeyville, KS")</f>
        <v>-2108.1340390093101</v>
      </c>
      <c r="H24" s="51">
        <f>-'2021 NOLC Refund Detail'!C7</f>
        <v>-101951.64051439878</v>
      </c>
      <c r="I24" s="63">
        <f t="shared" si="0"/>
        <v>-129780.43442000885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14281927.914818209</v>
      </c>
      <c r="E25" s="62">
        <f>GETPIVOTDATA("Sum of "&amp;T(Transactions!$K$19),Pivot!$A$3,"Customer",C25)</f>
        <v>14492070.749194976</v>
      </c>
      <c r="F25" s="62">
        <f t="shared" si="1"/>
        <v>-210142.83437676728</v>
      </c>
      <c r="G25" s="51">
        <f>+GETPIVOTDATA("Sum of "&amp;T(Transactions!$M$19),Pivot!$A$3,"Customer","ETEC")</f>
        <v>-17223.868458321558</v>
      </c>
      <c r="H25" s="51">
        <f>-'2021 NOLC Refund Detail'!C8</f>
        <v>-799928.25634374423</v>
      </c>
      <c r="I25" s="63">
        <f t="shared" si="0"/>
        <v>-1027294.9591788331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148070.29037154332</v>
      </c>
      <c r="E26" s="62">
        <f>GETPIVOTDATA("Sum of "&amp;T(Transactions!$K$19),Pivot!$A$3,"Customer",C26)</f>
        <v>150248.98156024358</v>
      </c>
      <c r="F26" s="62">
        <f t="shared" si="1"/>
        <v>-2178.6911887002643</v>
      </c>
      <c r="G26" s="51">
        <f>+GETPIVOTDATA("Sum of "&amp;T(Transactions!$M$19),Pivot!$A$3,"Customer","Greenbelt")</f>
        <v>-178.57135389255328</v>
      </c>
      <c r="H26" s="51">
        <f>-'2021 NOLC Refund Detail'!C9</f>
        <v>-7842.4338857229841</v>
      </c>
      <c r="I26" s="63">
        <f t="shared" si="0"/>
        <v>-10199.696428315801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59</v>
      </c>
      <c r="D27" s="62">
        <f>GETPIVOTDATA("Sum of "&amp;T(Transactions!$J$19),Pivot!$A$3,"Customer",C27)</f>
        <v>625185.67045762728</v>
      </c>
      <c r="E27" s="62">
        <f>GETPIVOTDATA("Sum of "&amp;T(Transactions!$K$19),Pivot!$A$3,"Customer",C27)</f>
        <v>634384.58880991733</v>
      </c>
      <c r="F27" s="62">
        <f t="shared" si="1"/>
        <v>-9198.9183522900566</v>
      </c>
      <c r="G27" s="51">
        <f>+GETPIVOTDATA("Sum of "&amp;T(Transactions!$M$19),Pivot!$A$3,"Customer","Hope, AR")</f>
        <v>-753.96793865744723</v>
      </c>
      <c r="H27" s="51">
        <f>-'2021 NOLC Refund Detail'!C10</f>
        <v>-39212.169428614921</v>
      </c>
      <c r="I27" s="63">
        <f t="shared" si="0"/>
        <v>-49165.055719562428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76777.187600059493</v>
      </c>
      <c r="E28" s="62">
        <f>GETPIVOTDATA("Sum of "&amp;T(Transactions!$K$19),Pivot!$A$3,"Customer",C28)</f>
        <v>77906.879327533708</v>
      </c>
      <c r="F28" s="62">
        <f t="shared" si="1"/>
        <v>-1129.6917274742154</v>
      </c>
      <c r="G28" s="51">
        <f>+GETPIVOTDATA("Sum of "&amp;T(Transactions!$M$19),Pivot!$A$3,"Customer","Lighthouse")</f>
        <v>-92.592553870212825</v>
      </c>
      <c r="H28" s="51">
        <f>-'2021 NOLC Refund Detail'!C11</f>
        <v>0</v>
      </c>
      <c r="I28" s="63">
        <f t="shared" si="0"/>
        <v>-1222.2842813444283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58</v>
      </c>
      <c r="D29" s="62">
        <f>GETPIVOTDATA("Sum of "&amp;T(Transactions!$J$19),Pivot!$A$3,"Customer",C29)</f>
        <v>453808.01956463733</v>
      </c>
      <c r="E29" s="62">
        <f>GETPIVOTDATA("Sum of "&amp;T(Transactions!$K$19),Pivot!$A$3,"Customer",C29)</f>
        <v>460485.30459667247</v>
      </c>
      <c r="F29" s="62">
        <f t="shared" si="1"/>
        <v>-6677.2850320351426</v>
      </c>
      <c r="G29" s="51">
        <f>+GETPIVOTDATA("Sum of "&amp;T(Transactions!$M$19),Pivot!$A$3,"Customer","Minden, LA")</f>
        <v>-547.2881309114365</v>
      </c>
      <c r="H29" s="51">
        <f>-'2021 NOLC Refund Detail'!C12</f>
        <v>-23527.301657168951</v>
      </c>
      <c r="I29" s="63">
        <f t="shared" si="0"/>
        <v>-30751.874820115532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1014555.6932865002</v>
      </c>
      <c r="E30" s="62">
        <f>GETPIVOTDATA("Sum of "&amp;T(Transactions!$K$19),Pivot!$A$3,"Customer",C30)</f>
        <v>1029483.7625424098</v>
      </c>
      <c r="F30" s="62">
        <f t="shared" si="1"/>
        <v>-14928.06925590965</v>
      </c>
      <c r="G30" s="51">
        <f>+GETPIVOTDATA("Sum of "&amp;T(Transactions!$M$19),Pivot!$A$3,"Customer","OG&amp;E")</f>
        <v>-1223.5444618563838</v>
      </c>
      <c r="H30" s="51">
        <f>-'2021 NOLC Refund Detail'!C13</f>
        <v>-39212.169428614921</v>
      </c>
      <c r="I30" s="63">
        <f t="shared" si="0"/>
        <v>-55363.783146380956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1739825.9118656334</v>
      </c>
      <c r="E31" s="62">
        <f>GETPIVOTDATA("Sum of "&amp;T(Transactions!$K$19),Pivot!$A$3,"Customer",C31)</f>
        <v>1765425.533332862</v>
      </c>
      <c r="F31" s="62">
        <f t="shared" si="1"/>
        <v>-25599.621467228513</v>
      </c>
      <c r="G31" s="51">
        <f>+GETPIVOTDATA("Sum of "&amp;T(Transactions!$M$19),Pivot!$A$3,"Customer","OMPA")</f>
        <v>-2098.213408237501</v>
      </c>
      <c r="H31" s="51">
        <f>-'2021 NOLC Refund Detail'!C14</f>
        <v>-101951.64051439878</v>
      </c>
      <c r="I31" s="63">
        <f t="shared" si="0"/>
        <v>-129649.47538986479</v>
      </c>
      <c r="J31" s="60"/>
    </row>
    <row r="32" spans="2:17" x14ac:dyDescent="0.25">
      <c r="B32" s="60"/>
      <c r="C32" s="61" t="s">
        <v>57</v>
      </c>
      <c r="D32" s="62">
        <f>GETPIVOTDATA("Sum of "&amp;T(Transactions!$J$19),Pivot!$A$3,"Customer",C32)</f>
        <v>165893.56606441425</v>
      </c>
      <c r="E32" s="62">
        <f>GETPIVOTDATA("Sum of "&amp;T(Transactions!$K$19),Pivot!$A$3,"Customer",C32)</f>
        <v>168334.50711842105</v>
      </c>
      <c r="F32" s="62">
        <f t="shared" si="1"/>
        <v>-2440.9410540068056</v>
      </c>
      <c r="G32" s="51">
        <f>+GETPIVOTDATA("Sum of "&amp;T(Transactions!$M$19),Pivot!$A$3,"Customer","Prescott, AR")</f>
        <v>-200.06605389813845</v>
      </c>
      <c r="H32" s="51">
        <f>-'2021 NOLC Refund Detail'!C15</f>
        <v>-7842.4338857229841</v>
      </c>
      <c r="I32" s="63">
        <f t="shared" si="0"/>
        <v>-10483.440993627928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844549.06360065425</v>
      </c>
      <c r="E33" s="62">
        <f>GETPIVOTDATA("Sum of "&amp;T(Transactions!$K$19),Pivot!$A$3,"Customer",C33)</f>
        <v>856975.67260287062</v>
      </c>
      <c r="F33" s="62">
        <f t="shared" si="1"/>
        <v>-12426.60900221637</v>
      </c>
      <c r="G33" s="51">
        <f>+GETPIVOTDATA("Sum of "&amp;T(Transactions!$M$19),Pivot!$A$3,"Customer","WFEC")</f>
        <v>-1018.5180925723412</v>
      </c>
      <c r="H33" s="51">
        <f>-'2021 NOLC Refund Detail'!C16</f>
        <v>-39212.169428614921</v>
      </c>
      <c r="I33" s="63">
        <f t="shared" si="0"/>
        <v>-52657.296523403631</v>
      </c>
      <c r="J33" s="60"/>
    </row>
    <row r="34" spans="2:11" ht="23" x14ac:dyDescent="0.25">
      <c r="C34" s="67" t="s">
        <v>44</v>
      </c>
      <c r="D34" s="68">
        <f t="shared" ref="D34:I34" si="2">SUM(D21:D33)</f>
        <v>36998378.295985818</v>
      </c>
      <c r="E34" s="68">
        <f t="shared" si="2"/>
        <v>37542768.67022901</v>
      </c>
      <c r="F34" s="68">
        <f t="shared" si="2"/>
        <v>-544390.3742432018</v>
      </c>
      <c r="G34" s="69">
        <f t="shared" si="2"/>
        <v>-44619.690334670784</v>
      </c>
      <c r="H34" s="69">
        <f t="shared" si="2"/>
        <v>-2039032.8102879752</v>
      </c>
      <c r="I34" s="70">
        <f t="shared" si="2"/>
        <v>-2628042.8748658481</v>
      </c>
    </row>
    <row r="35" spans="2:11" x14ac:dyDescent="0.25">
      <c r="C35" s="71" t="s">
        <v>21</v>
      </c>
      <c r="D35" s="62">
        <f>GETPIVOTDATA("Sum of "&amp;T(Transactions!$J$19),Pivot!$A$3,"Customer",C35)</f>
        <v>52172841.016654715</v>
      </c>
      <c r="E35" s="62">
        <f>GETPIVOTDATA("Sum of "&amp;T(Transactions!$K$19),Pivot!$A$3,"Customer",C35)</f>
        <v>52940506.891606577</v>
      </c>
      <c r="F35" s="62">
        <f t="shared" si="1"/>
        <v>-767665.8749518618</v>
      </c>
      <c r="G35" s="51">
        <f>+GETPIVOTDATA("Sum of "&amp;T(Transactions!$M$19),Pivot!$A$3,"Customer","PSO")</f>
        <v>-62919.947231733553</v>
      </c>
      <c r="H35" s="51">
        <f>-'2021 NOLC Refund Detail'!C18</f>
        <v>-2901700.537717504</v>
      </c>
      <c r="I35" s="63">
        <f>F35+G35+H35</f>
        <v>-3732286.3599010995</v>
      </c>
    </row>
    <row r="36" spans="2:11" x14ac:dyDescent="0.25">
      <c r="C36" s="72" t="s">
        <v>22</v>
      </c>
      <c r="D36" s="62">
        <f>GETPIVOTDATA("Sum of "&amp;T(Transactions!$J$19),Pivot!$A$3,"Customer",C36)</f>
        <v>48691818.171716295</v>
      </c>
      <c r="E36" s="62">
        <f>GETPIVOTDATA("Sum of "&amp;T(Transactions!$K$19),Pivot!$A$3,"Customer",C36)</f>
        <v>49408264.630667135</v>
      </c>
      <c r="F36" s="62">
        <f>D36-E36</f>
        <v>-716446.45895083994</v>
      </c>
      <c r="G36" s="51">
        <f>+GETPIVOTDATA("Sum of "&amp;T(Transactions!$M$19),Pivot!$A$3,"Customer","SWEPCO")</f>
        <v>-58721.866976796577</v>
      </c>
      <c r="H36" s="51">
        <f>-'2021 NOLC Refund Detail'!C19</f>
        <v>-2776221.5955459359</v>
      </c>
      <c r="I36" s="63">
        <f>F36+G36+H36</f>
        <v>-3551389.9214735725</v>
      </c>
    </row>
    <row r="37" spans="2:11" x14ac:dyDescent="0.25">
      <c r="C37" s="73" t="s">
        <v>83</v>
      </c>
      <c r="D37" s="62">
        <f>GETPIVOTDATA("Sum of "&amp;T(Transactions!$J$19),Pivot!$A$3,"Customer",C37)</f>
        <v>2225167.419194581</v>
      </c>
      <c r="E37" s="62">
        <f>GETPIVOTDATA("Sum of "&amp;T(Transactions!$K$19),Pivot!$A$3,"Customer",C37)</f>
        <v>2257908.3062247718</v>
      </c>
      <c r="F37" s="62">
        <f>D37-E37</f>
        <v>-32740.887030190788</v>
      </c>
      <c r="G37" s="51">
        <f>+GETPIVOTDATA("Sum of "&amp;T(Transactions!$M$19),Pivot!$A$3,"Customer","SWEPCO-Valley")</f>
        <v>-2683.5306237742038</v>
      </c>
      <c r="H37" s="51">
        <f>-'2021 NOLC Refund Detail'!C20</f>
        <v>-125478.94217156775</v>
      </c>
      <c r="I37" s="63">
        <f>F37+G37+H37</f>
        <v>-160903.35982553274</v>
      </c>
    </row>
    <row r="38" spans="2:11" ht="23" x14ac:dyDescent="0.25">
      <c r="C38" s="74" t="s">
        <v>53</v>
      </c>
      <c r="D38" s="75">
        <f t="shared" ref="D38:I38" si="3">SUM(D35:D37)</f>
        <v>103089826.60756558</v>
      </c>
      <c r="E38" s="75">
        <f t="shared" si="3"/>
        <v>104606679.8284985</v>
      </c>
      <c r="F38" s="75">
        <f t="shared" si="3"/>
        <v>-1516853.2209328925</v>
      </c>
      <c r="G38" s="76">
        <f t="shared" si="3"/>
        <v>-124325.34483230433</v>
      </c>
      <c r="H38" s="76">
        <f t="shared" si="3"/>
        <v>-5803401.0754350079</v>
      </c>
      <c r="I38" s="77">
        <f t="shared" si="3"/>
        <v>-7444579.6412002053</v>
      </c>
    </row>
    <row r="39" spans="2:11" ht="23.25" customHeight="1" thickBot="1" x14ac:dyDescent="0.3">
      <c r="C39" s="78" t="s">
        <v>45</v>
      </c>
      <c r="D39" s="79">
        <f t="shared" ref="D39:I39" si="4">SUM(D34,D38)</f>
        <v>140088204.9035514</v>
      </c>
      <c r="E39" s="80">
        <f t="shared" si="4"/>
        <v>142149448.4987275</v>
      </c>
      <c r="F39" s="79">
        <f t="shared" si="4"/>
        <v>-2061243.5951760942</v>
      </c>
      <c r="G39" s="80">
        <f t="shared" si="4"/>
        <v>-168945.03516697511</v>
      </c>
      <c r="H39" s="80">
        <f t="shared" si="4"/>
        <v>-7842433.8857229836</v>
      </c>
      <c r="I39" s="81">
        <f t="shared" si="4"/>
        <v>-10072622.516066054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D41" s="218"/>
    </row>
    <row r="42" spans="2:11" x14ac:dyDescent="0.25">
      <c r="D42" s="219"/>
    </row>
    <row r="45" spans="2:11" x14ac:dyDescent="0.25">
      <c r="D45" s="220"/>
    </row>
  </sheetData>
  <mergeCells count="4">
    <mergeCell ref="C1:I1"/>
    <mergeCell ref="C2:I2"/>
    <mergeCell ref="C3:I3"/>
    <mergeCell ref="C4:I4"/>
  </mergeCells>
  <phoneticPr fontId="6" type="noConversion"/>
  <pageMargins left="0.5" right="0.5" top="1" bottom="1" header="0.5" footer="0.5"/>
  <pageSetup scale="8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126"/>
  <sheetViews>
    <sheetView tabSelected="1" zoomScale="85" workbookViewId="0">
      <pane xSplit="2" ySplit="4" topLeftCell="I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2.1796875" style="1" bestFit="1" customWidth="1"/>
    <col min="16" max="16384" width="8.7265625" style="1"/>
  </cols>
  <sheetData>
    <row r="3" spans="1:15" x14ac:dyDescent="0.25">
      <c r="A3" s="84"/>
      <c r="B3" s="85"/>
      <c r="C3" s="86" t="s">
        <v>55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</row>
    <row r="4" spans="1:15" x14ac:dyDescent="0.25">
      <c r="A4" s="86" t="s">
        <v>0</v>
      </c>
      <c r="B4" s="86" t="s">
        <v>24</v>
      </c>
      <c r="C4" s="88">
        <v>44927</v>
      </c>
      <c r="D4" s="89">
        <v>44958</v>
      </c>
      <c r="E4" s="89">
        <v>44986</v>
      </c>
      <c r="F4" s="89">
        <v>45017</v>
      </c>
      <c r="G4" s="89">
        <v>45047</v>
      </c>
      <c r="H4" s="89">
        <v>45078</v>
      </c>
      <c r="I4" s="89">
        <v>45108</v>
      </c>
      <c r="J4" s="89">
        <v>45139</v>
      </c>
      <c r="K4" s="89">
        <v>45170</v>
      </c>
      <c r="L4" s="89">
        <v>45200</v>
      </c>
      <c r="M4" s="89">
        <v>45231</v>
      </c>
      <c r="N4" s="89">
        <v>45261</v>
      </c>
      <c r="O4" s="90" t="s">
        <v>18</v>
      </c>
    </row>
    <row r="5" spans="1:15" x14ac:dyDescent="0.25">
      <c r="A5" s="84" t="s">
        <v>14</v>
      </c>
      <c r="B5" s="84" t="s">
        <v>72</v>
      </c>
      <c r="C5" s="91">
        <v>1135205.5595151652</v>
      </c>
      <c r="D5" s="92">
        <v>1077622.6688151206</v>
      </c>
      <c r="E5" s="92">
        <v>962456.88741503144</v>
      </c>
      <c r="F5" s="92">
        <v>711560.00650769414</v>
      </c>
      <c r="G5" s="92">
        <v>987135.2691436219</v>
      </c>
      <c r="H5" s="92">
        <v>1336745.6769653214</v>
      </c>
      <c r="I5" s="92">
        <v>1266823.5954009814</v>
      </c>
      <c r="J5" s="92">
        <v>1443685.3311225472</v>
      </c>
      <c r="K5" s="92">
        <v>1240774.1924652471</v>
      </c>
      <c r="L5" s="92">
        <v>951488.71775787999</v>
      </c>
      <c r="M5" s="92">
        <v>1009071.6084579247</v>
      </c>
      <c r="N5" s="92">
        <v>977538.12069361447</v>
      </c>
      <c r="O5" s="93">
        <v>13100107.634260152</v>
      </c>
    </row>
    <row r="6" spans="1:15" ht="13" x14ac:dyDescent="0.3">
      <c r="A6" s="214"/>
      <c r="B6" s="94" t="s">
        <v>25</v>
      </c>
      <c r="C6" s="252">
        <v>-16703.299113369081</v>
      </c>
      <c r="D6" s="253">
        <v>-15856.030317763332</v>
      </c>
      <c r="E6" s="253">
        <v>-14161.492726551951</v>
      </c>
      <c r="F6" s="253">
        <v>-10469.82154569868</v>
      </c>
      <c r="G6" s="253">
        <v>-14524.6079246687</v>
      </c>
      <c r="H6" s="253">
        <v>-19668.739897988737</v>
      </c>
      <c r="I6" s="253">
        <v>-18639.913503324846</v>
      </c>
      <c r="J6" s="253">
        <v>-21242.239089827752</v>
      </c>
      <c r="K6" s="253">
        <v>-18256.625238645822</v>
      </c>
      <c r="L6" s="253">
        <v>-14000.108194055734</v>
      </c>
      <c r="M6" s="253">
        <v>-14847.37698966125</v>
      </c>
      <c r="N6" s="253">
        <v>-14383.396458734409</v>
      </c>
      <c r="O6" s="254">
        <v>-192753.65100029029</v>
      </c>
    </row>
    <row r="7" spans="1:15" ht="13" x14ac:dyDescent="0.3">
      <c r="A7" s="214"/>
      <c r="B7" s="94" t="s">
        <v>26</v>
      </c>
      <c r="C7" s="252">
        <v>-1369.0470465095755</v>
      </c>
      <c r="D7" s="253">
        <v>-1299.6026311069156</v>
      </c>
      <c r="E7" s="253">
        <v>-1160.7138003015966</v>
      </c>
      <c r="F7" s="253">
        <v>-858.13456176143666</v>
      </c>
      <c r="G7" s="253">
        <v>-1190.4756926170221</v>
      </c>
      <c r="H7" s="253">
        <v>-1612.1025004188841</v>
      </c>
      <c r="I7" s="253">
        <v>-1527.7771388585115</v>
      </c>
      <c r="J7" s="253">
        <v>-1741.0707004523949</v>
      </c>
      <c r="K7" s="253">
        <v>-1496.3618080811179</v>
      </c>
      <c r="L7" s="253">
        <v>-1147.4862926058518</v>
      </c>
      <c r="M7" s="253">
        <v>-1216.9307080085114</v>
      </c>
      <c r="N7" s="253">
        <v>-1178.9016233832454</v>
      </c>
      <c r="O7" s="254">
        <v>-15798.604504105064</v>
      </c>
    </row>
    <row r="8" spans="1:15" ht="13" x14ac:dyDescent="0.3">
      <c r="A8" s="214"/>
      <c r="B8" s="94" t="s">
        <v>27</v>
      </c>
      <c r="C8" s="252">
        <v>-18072.346159878656</v>
      </c>
      <c r="D8" s="253">
        <v>-17155.632948870247</v>
      </c>
      <c r="E8" s="253">
        <v>-15322.206526853548</v>
      </c>
      <c r="F8" s="253">
        <v>-11327.956107460117</v>
      </c>
      <c r="G8" s="253">
        <v>-15715.083617285723</v>
      </c>
      <c r="H8" s="253">
        <v>-21280.842398407622</v>
      </c>
      <c r="I8" s="253">
        <v>-20167.690642183356</v>
      </c>
      <c r="J8" s="253">
        <v>-22983.309790280146</v>
      </c>
      <c r="K8" s="253">
        <v>-19752.987046726939</v>
      </c>
      <c r="L8" s="253">
        <v>-15147.594486661586</v>
      </c>
      <c r="M8" s="253">
        <v>-16064.307697669761</v>
      </c>
      <c r="N8" s="253">
        <v>-15562.298082117653</v>
      </c>
      <c r="O8" s="254">
        <v>-208552.25550439535</v>
      </c>
    </row>
    <row r="9" spans="1:15" x14ac:dyDescent="0.25">
      <c r="A9" s="214"/>
      <c r="B9" s="94" t="s">
        <v>51</v>
      </c>
      <c r="C9" s="95">
        <v>1151908.8586285342</v>
      </c>
      <c r="D9" s="83">
        <v>1093478.6991328839</v>
      </c>
      <c r="E9" s="83">
        <v>976618.38014158339</v>
      </c>
      <c r="F9" s="83">
        <v>722029.82805339282</v>
      </c>
      <c r="G9" s="83">
        <v>1001659.8770682906</v>
      </c>
      <c r="H9" s="83">
        <v>1356414.4168633102</v>
      </c>
      <c r="I9" s="83">
        <v>1285463.5089043062</v>
      </c>
      <c r="J9" s="83">
        <v>1464927.5702123749</v>
      </c>
      <c r="K9" s="83">
        <v>1259030.8177038929</v>
      </c>
      <c r="L9" s="83">
        <v>965488.82595193572</v>
      </c>
      <c r="M9" s="83">
        <v>1023918.9854475859</v>
      </c>
      <c r="N9" s="83">
        <v>991921.51715234888</v>
      </c>
      <c r="O9" s="96">
        <v>13292861.285260439</v>
      </c>
    </row>
    <row r="10" spans="1:15" x14ac:dyDescent="0.25">
      <c r="A10" s="214"/>
      <c r="B10" s="94" t="s">
        <v>91</v>
      </c>
      <c r="C10" s="95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96">
        <v>0</v>
      </c>
    </row>
    <row r="11" spans="1:15" x14ac:dyDescent="0.25">
      <c r="A11" s="214"/>
      <c r="B11" s="94" t="s">
        <v>93</v>
      </c>
      <c r="C11" s="95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96">
        <v>0</v>
      </c>
    </row>
    <row r="12" spans="1:15" x14ac:dyDescent="0.25">
      <c r="A12" s="84" t="s">
        <v>17</v>
      </c>
      <c r="B12" s="84" t="s">
        <v>72</v>
      </c>
      <c r="C12" s="91">
        <v>142586.20554296763</v>
      </c>
      <c r="D12" s="92">
        <v>146699.26916439936</v>
      </c>
      <c r="E12" s="92">
        <v>141215.18433582369</v>
      </c>
      <c r="F12" s="92">
        <v>134360.0783001041</v>
      </c>
      <c r="G12" s="92">
        <v>143957.22675011153</v>
      </c>
      <c r="H12" s="92">
        <v>157667.43882155072</v>
      </c>
      <c r="I12" s="92">
        <v>150812.33278583112</v>
      </c>
      <c r="J12" s="92">
        <v>149441.31157868722</v>
      </c>
      <c r="K12" s="92">
        <v>153554.37520011896</v>
      </c>
      <c r="L12" s="92">
        <v>146699.26916439936</v>
      </c>
      <c r="M12" s="92">
        <v>142586.20554296763</v>
      </c>
      <c r="N12" s="92">
        <v>138473.14192153586</v>
      </c>
      <c r="O12" s="93">
        <v>1748052.0391084973</v>
      </c>
    </row>
    <row r="13" spans="1:15" ht="13" x14ac:dyDescent="0.3">
      <c r="A13" s="214"/>
      <c r="B13" s="94" t="s">
        <v>25</v>
      </c>
      <c r="C13" s="252">
        <v>-2097.9989224521269</v>
      </c>
      <c r="D13" s="253">
        <v>-2158.5181221382809</v>
      </c>
      <c r="E13" s="253">
        <v>-2077.8258558901143</v>
      </c>
      <c r="F13" s="253">
        <v>-1976.9605230799061</v>
      </c>
      <c r="G13" s="253">
        <v>-2118.1719890141976</v>
      </c>
      <c r="H13" s="253">
        <v>-2319.9026546345849</v>
      </c>
      <c r="I13" s="253">
        <v>-2219.0373218243767</v>
      </c>
      <c r="J13" s="253">
        <v>-2198.8642552623351</v>
      </c>
      <c r="K13" s="253">
        <v>-2259.38345494846</v>
      </c>
      <c r="L13" s="253">
        <v>-2158.5181221382809</v>
      </c>
      <c r="M13" s="253">
        <v>-2097.9989224521269</v>
      </c>
      <c r="N13" s="253">
        <v>-2037.4797227660019</v>
      </c>
      <c r="O13" s="254">
        <v>-25720.659866600792</v>
      </c>
    </row>
    <row r="14" spans="1:15" ht="13" x14ac:dyDescent="0.3">
      <c r="A14" s="214"/>
      <c r="B14" s="94" t="s">
        <v>26</v>
      </c>
      <c r="C14" s="252">
        <v>-171.95760004468096</v>
      </c>
      <c r="D14" s="253">
        <v>-176.91791543058523</v>
      </c>
      <c r="E14" s="253">
        <v>-170.30416158271288</v>
      </c>
      <c r="F14" s="253">
        <v>-162.03696927287243</v>
      </c>
      <c r="G14" s="253">
        <v>-173.61103850664904</v>
      </c>
      <c r="H14" s="253">
        <v>-190.14542312632989</v>
      </c>
      <c r="I14" s="253">
        <v>-181.87823081648949</v>
      </c>
      <c r="J14" s="253">
        <v>-180.22479235452138</v>
      </c>
      <c r="K14" s="253">
        <v>-185.18510774042565</v>
      </c>
      <c r="L14" s="253">
        <v>-176.91791543058523</v>
      </c>
      <c r="M14" s="253">
        <v>-171.95760004468096</v>
      </c>
      <c r="N14" s="253">
        <v>-166.99728465877672</v>
      </c>
      <c r="O14" s="254">
        <v>-2108.1340390093101</v>
      </c>
    </row>
    <row r="15" spans="1:15" ht="13" x14ac:dyDescent="0.3">
      <c r="A15" s="214"/>
      <c r="B15" s="94" t="s">
        <v>27</v>
      </c>
      <c r="C15" s="252">
        <v>-2269.9565224968078</v>
      </c>
      <c r="D15" s="253">
        <v>-2335.4360375688661</v>
      </c>
      <c r="E15" s="253">
        <v>-2248.1300174728271</v>
      </c>
      <c r="F15" s="253">
        <v>-2138.9974923527784</v>
      </c>
      <c r="G15" s="253">
        <v>-2291.7830275208466</v>
      </c>
      <c r="H15" s="253">
        <v>-2510.0480777609146</v>
      </c>
      <c r="I15" s="253">
        <v>-2400.9155526408663</v>
      </c>
      <c r="J15" s="253">
        <v>-2379.0890476168565</v>
      </c>
      <c r="K15" s="253">
        <v>-2444.5685626888858</v>
      </c>
      <c r="L15" s="253">
        <v>-2335.4360375688661</v>
      </c>
      <c r="M15" s="253">
        <v>-2269.9565224968078</v>
      </c>
      <c r="N15" s="253">
        <v>-2204.4770074247785</v>
      </c>
      <c r="O15" s="254">
        <v>-27828.793905610099</v>
      </c>
    </row>
    <row r="16" spans="1:15" x14ac:dyDescent="0.25">
      <c r="A16" s="214"/>
      <c r="B16" s="94" t="s">
        <v>51</v>
      </c>
      <c r="C16" s="95">
        <v>144684.20446541975</v>
      </c>
      <c r="D16" s="83">
        <v>148857.78728653764</v>
      </c>
      <c r="E16" s="83">
        <v>143293.01019171381</v>
      </c>
      <c r="F16" s="83">
        <v>136337.038823184</v>
      </c>
      <c r="G16" s="83">
        <v>146075.39873912573</v>
      </c>
      <c r="H16" s="83">
        <v>159987.34147618531</v>
      </c>
      <c r="I16" s="83">
        <v>153031.3701076555</v>
      </c>
      <c r="J16" s="83">
        <v>151640.17583394956</v>
      </c>
      <c r="K16" s="83">
        <v>155813.75865506742</v>
      </c>
      <c r="L16" s="83">
        <v>148857.78728653764</v>
      </c>
      <c r="M16" s="83">
        <v>144684.20446541975</v>
      </c>
      <c r="N16" s="83">
        <v>140510.62164430186</v>
      </c>
      <c r="O16" s="96">
        <v>1773772.6989750981</v>
      </c>
    </row>
    <row r="17" spans="1:15" x14ac:dyDescent="0.25">
      <c r="A17" s="214"/>
      <c r="B17" s="94" t="s">
        <v>91</v>
      </c>
      <c r="C17" s="95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96">
        <v>0</v>
      </c>
    </row>
    <row r="18" spans="1:15" x14ac:dyDescent="0.25">
      <c r="A18" s="214"/>
      <c r="B18" s="94" t="s">
        <v>93</v>
      </c>
      <c r="C18" s="95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6">
        <v>0</v>
      </c>
    </row>
    <row r="19" spans="1:15" x14ac:dyDescent="0.25">
      <c r="A19" s="84" t="s">
        <v>13</v>
      </c>
      <c r="B19" s="84" t="s">
        <v>72</v>
      </c>
      <c r="C19" s="91">
        <v>1325777.50730817</v>
      </c>
      <c r="D19" s="92">
        <v>1309325.2528224429</v>
      </c>
      <c r="E19" s="92">
        <v>1195530.4926294978</v>
      </c>
      <c r="F19" s="92">
        <v>825354.76670063951</v>
      </c>
      <c r="G19" s="92">
        <v>974796.07827932667</v>
      </c>
      <c r="H19" s="92">
        <v>1283275.8498867084</v>
      </c>
      <c r="I19" s="92">
        <v>1277791.7650581328</v>
      </c>
      <c r="J19" s="92">
        <v>1405296.7373225174</v>
      </c>
      <c r="K19" s="92">
        <v>1280533.8074724206</v>
      </c>
      <c r="L19" s="92">
        <v>959714.84500074352</v>
      </c>
      <c r="M19" s="92">
        <v>1188675.3865937782</v>
      </c>
      <c r="N19" s="92">
        <v>1255855.4257438302</v>
      </c>
      <c r="O19" s="93">
        <v>14281927.914818209</v>
      </c>
    </row>
    <row r="20" spans="1:15" ht="13" x14ac:dyDescent="0.3">
      <c r="A20" s="214"/>
      <c r="B20" s="94" t="s">
        <v>25</v>
      </c>
      <c r="C20" s="252">
        <v>-19507.355365492636</v>
      </c>
      <c r="D20" s="253">
        <v>-19265.278566748137</v>
      </c>
      <c r="E20" s="253">
        <v>-17590.914042098681</v>
      </c>
      <c r="F20" s="253">
        <v>-12144.186070347903</v>
      </c>
      <c r="G20" s="253">
        <v>-14343.050325610326</v>
      </c>
      <c r="H20" s="253">
        <v>-18881.990302069345</v>
      </c>
      <c r="I20" s="253">
        <v>-18801.298035821179</v>
      </c>
      <c r="J20" s="253">
        <v>-20677.393226090819</v>
      </c>
      <c r="K20" s="253">
        <v>-18841.644168945262</v>
      </c>
      <c r="L20" s="253">
        <v>-14121.146593427868</v>
      </c>
      <c r="M20" s="253">
        <v>-17490.048709288472</v>
      </c>
      <c r="N20" s="253">
        <v>-18478.528970828513</v>
      </c>
      <c r="O20" s="254">
        <v>-210142.83437676914</v>
      </c>
    </row>
    <row r="21" spans="1:15" ht="13" x14ac:dyDescent="0.3">
      <c r="A21" s="214"/>
      <c r="B21" s="94" t="s">
        <v>26</v>
      </c>
      <c r="C21" s="252">
        <v>-1598.8749927231393</v>
      </c>
      <c r="D21" s="253">
        <v>-1579.0337311795224</v>
      </c>
      <c r="E21" s="253">
        <v>-1441.7983388361711</v>
      </c>
      <c r="F21" s="253">
        <v>-995.36995410478789</v>
      </c>
      <c r="G21" s="253">
        <v>-1175.5947464593091</v>
      </c>
      <c r="H21" s="253">
        <v>-1547.6184004021288</v>
      </c>
      <c r="I21" s="253">
        <v>-1541.0046465542564</v>
      </c>
      <c r="J21" s="253">
        <v>-1694.7744235172884</v>
      </c>
      <c r="K21" s="253">
        <v>-1544.3115234781924</v>
      </c>
      <c r="L21" s="253">
        <v>-1157.4069233776604</v>
      </c>
      <c r="M21" s="253">
        <v>-1433.5311465263308</v>
      </c>
      <c r="N21" s="253">
        <v>-1514.5496311627671</v>
      </c>
      <c r="O21" s="254">
        <v>-17223.868458321558</v>
      </c>
    </row>
    <row r="22" spans="1:15" ht="13" x14ac:dyDescent="0.3">
      <c r="A22" s="214"/>
      <c r="B22" s="94" t="s">
        <v>27</v>
      </c>
      <c r="C22" s="252">
        <v>-21106.230358215777</v>
      </c>
      <c r="D22" s="253">
        <v>-20844.31229792766</v>
      </c>
      <c r="E22" s="253">
        <v>-19032.712380934852</v>
      </c>
      <c r="F22" s="253">
        <v>-13139.556024452691</v>
      </c>
      <c r="G22" s="253">
        <v>-15518.645072069634</v>
      </c>
      <c r="H22" s="253">
        <v>-20429.608702471472</v>
      </c>
      <c r="I22" s="253">
        <v>-20342.302682375434</v>
      </c>
      <c r="J22" s="253">
        <v>-22372.167649608105</v>
      </c>
      <c r="K22" s="253">
        <v>-20385.955692423453</v>
      </c>
      <c r="L22" s="253">
        <v>-15278.553516805528</v>
      </c>
      <c r="M22" s="253">
        <v>-18923.579855814802</v>
      </c>
      <c r="N22" s="253">
        <v>-19993.078601991281</v>
      </c>
      <c r="O22" s="254">
        <v>-227366.70283509069</v>
      </c>
    </row>
    <row r="23" spans="1:15" x14ac:dyDescent="0.25">
      <c r="A23" s="214"/>
      <c r="B23" s="94" t="s">
        <v>51</v>
      </c>
      <c r="C23" s="95">
        <v>1345284.8626736626</v>
      </c>
      <c r="D23" s="83">
        <v>1328590.531389191</v>
      </c>
      <c r="E23" s="83">
        <v>1213121.4066715965</v>
      </c>
      <c r="F23" s="83">
        <v>837498.95277098741</v>
      </c>
      <c r="G23" s="83">
        <v>989139.128604937</v>
      </c>
      <c r="H23" s="83">
        <v>1302157.8401887778</v>
      </c>
      <c r="I23" s="83">
        <v>1296593.063093954</v>
      </c>
      <c r="J23" s="83">
        <v>1425974.1305486083</v>
      </c>
      <c r="K23" s="83">
        <v>1299375.4516413659</v>
      </c>
      <c r="L23" s="83">
        <v>973835.99159417138</v>
      </c>
      <c r="M23" s="83">
        <v>1206165.4353030666</v>
      </c>
      <c r="N23" s="83">
        <v>1274333.9547146587</v>
      </c>
      <c r="O23" s="96">
        <v>14492070.749194976</v>
      </c>
    </row>
    <row r="24" spans="1:15" x14ac:dyDescent="0.25">
      <c r="A24" s="214"/>
      <c r="B24" s="94" t="s">
        <v>91</v>
      </c>
      <c r="C24" s="95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96">
        <v>0</v>
      </c>
    </row>
    <row r="25" spans="1:15" x14ac:dyDescent="0.25">
      <c r="A25" s="214"/>
      <c r="B25" s="94" t="s">
        <v>93</v>
      </c>
      <c r="C25" s="95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96">
        <v>0</v>
      </c>
    </row>
    <row r="26" spans="1:15" x14ac:dyDescent="0.25">
      <c r="A26" s="84" t="s">
        <v>15</v>
      </c>
      <c r="B26" s="84" t="s">
        <v>72</v>
      </c>
      <c r="C26" s="91">
        <v>8226.1272428635166</v>
      </c>
      <c r="D26" s="92">
        <v>6855.1060357195965</v>
      </c>
      <c r="E26" s="92">
        <v>6855.1060357195965</v>
      </c>
      <c r="F26" s="92">
        <v>9597.1484500074348</v>
      </c>
      <c r="G26" s="92">
        <v>5484.0848285756774</v>
      </c>
      <c r="H26" s="92">
        <v>19194.29690001487</v>
      </c>
      <c r="I26" s="92">
        <v>17823.275692870953</v>
      </c>
      <c r="J26" s="92">
        <v>26049.402935734466</v>
      </c>
      <c r="K26" s="92">
        <v>24678.38172859055</v>
      </c>
      <c r="L26" s="92">
        <v>8226.1272428635166</v>
      </c>
      <c r="M26" s="92">
        <v>8226.1272428635166</v>
      </c>
      <c r="N26" s="92">
        <v>6855.1060357195965</v>
      </c>
      <c r="O26" s="93">
        <v>148070.29037154332</v>
      </c>
    </row>
    <row r="27" spans="1:15" ht="13" x14ac:dyDescent="0.3">
      <c r="A27" s="214"/>
      <c r="B27" s="94" t="s">
        <v>25</v>
      </c>
      <c r="C27" s="252">
        <v>-121.03839937223893</v>
      </c>
      <c r="D27" s="253">
        <v>-100.86533281019911</v>
      </c>
      <c r="E27" s="253">
        <v>-100.86533281019911</v>
      </c>
      <c r="F27" s="253">
        <v>-141.21146593427875</v>
      </c>
      <c r="G27" s="253">
        <v>-80.692266248159285</v>
      </c>
      <c r="H27" s="253">
        <v>-282.4229318685575</v>
      </c>
      <c r="I27" s="253">
        <v>-262.24986530651586</v>
      </c>
      <c r="J27" s="253">
        <v>-383.28826467875842</v>
      </c>
      <c r="K27" s="253">
        <v>-363.11519811671678</v>
      </c>
      <c r="L27" s="253">
        <v>-121.03839937223893</v>
      </c>
      <c r="M27" s="253">
        <v>-121.03839937223893</v>
      </c>
      <c r="N27" s="253">
        <v>-100.86533281019911</v>
      </c>
      <c r="O27" s="254">
        <v>-2178.6911887003007</v>
      </c>
    </row>
    <row r="28" spans="1:15" ht="13" x14ac:dyDescent="0.3">
      <c r="A28" s="214"/>
      <c r="B28" s="94" t="s">
        <v>26</v>
      </c>
      <c r="C28" s="252">
        <v>-9.9206307718085167</v>
      </c>
      <c r="D28" s="253">
        <v>-8.2671923098404303</v>
      </c>
      <c r="E28" s="253">
        <v>-8.2671923098404303</v>
      </c>
      <c r="F28" s="253">
        <v>-11.574069233776603</v>
      </c>
      <c r="G28" s="253">
        <v>-6.6137538478723439</v>
      </c>
      <c r="H28" s="253">
        <v>-23.148138467553206</v>
      </c>
      <c r="I28" s="253">
        <v>-21.49470000558512</v>
      </c>
      <c r="J28" s="253">
        <v>-31.415330777393638</v>
      </c>
      <c r="K28" s="253">
        <v>-29.761892315425552</v>
      </c>
      <c r="L28" s="253">
        <v>-9.9206307718085167</v>
      </c>
      <c r="M28" s="253">
        <v>-9.9206307718085167</v>
      </c>
      <c r="N28" s="253">
        <v>-8.2671923098404303</v>
      </c>
      <c r="O28" s="254">
        <v>-178.57135389255328</v>
      </c>
    </row>
    <row r="29" spans="1:15" ht="13" x14ac:dyDescent="0.3">
      <c r="A29" s="214"/>
      <c r="B29" s="94" t="s">
        <v>27</v>
      </c>
      <c r="C29" s="252">
        <v>-130.95903014404743</v>
      </c>
      <c r="D29" s="253">
        <v>-109.13252512003953</v>
      </c>
      <c r="E29" s="253">
        <v>-109.13252512003953</v>
      </c>
      <c r="F29" s="253">
        <v>-152.78553516805536</v>
      </c>
      <c r="G29" s="253">
        <v>-87.306020096031631</v>
      </c>
      <c r="H29" s="253">
        <v>-305.57107033611072</v>
      </c>
      <c r="I29" s="253">
        <v>-283.74456531210097</v>
      </c>
      <c r="J29" s="253">
        <v>-414.70359545615207</v>
      </c>
      <c r="K29" s="253">
        <v>-392.87709043214232</v>
      </c>
      <c r="L29" s="253">
        <v>-130.95903014404743</v>
      </c>
      <c r="M29" s="253">
        <v>-130.95903014404743</v>
      </c>
      <c r="N29" s="253">
        <v>-109.13252512003953</v>
      </c>
      <c r="O29" s="254">
        <v>-2357.2625425928541</v>
      </c>
    </row>
    <row r="30" spans="1:15" x14ac:dyDescent="0.25">
      <c r="A30" s="214"/>
      <c r="B30" s="94" t="s">
        <v>51</v>
      </c>
      <c r="C30" s="95">
        <v>8347.1656422357555</v>
      </c>
      <c r="D30" s="83">
        <v>6955.9713685297957</v>
      </c>
      <c r="E30" s="83">
        <v>6955.9713685297957</v>
      </c>
      <c r="F30" s="83">
        <v>9738.3599159417136</v>
      </c>
      <c r="G30" s="83">
        <v>5564.7770948238367</v>
      </c>
      <c r="H30" s="83">
        <v>19476.719831883427</v>
      </c>
      <c r="I30" s="83">
        <v>18085.525558177469</v>
      </c>
      <c r="J30" s="83">
        <v>26432.691200413225</v>
      </c>
      <c r="K30" s="83">
        <v>25041.496926707267</v>
      </c>
      <c r="L30" s="83">
        <v>8347.1656422357555</v>
      </c>
      <c r="M30" s="83">
        <v>8347.1656422357555</v>
      </c>
      <c r="N30" s="83">
        <v>6955.9713685297957</v>
      </c>
      <c r="O30" s="96">
        <v>150248.98156024358</v>
      </c>
    </row>
    <row r="31" spans="1:15" x14ac:dyDescent="0.25">
      <c r="A31" s="214"/>
      <c r="B31" s="94" t="s">
        <v>91</v>
      </c>
      <c r="C31" s="95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96">
        <v>0</v>
      </c>
    </row>
    <row r="32" spans="1:15" x14ac:dyDescent="0.25">
      <c r="A32" s="214"/>
      <c r="B32" s="94" t="s">
        <v>93</v>
      </c>
      <c r="C32" s="95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96">
        <v>0</v>
      </c>
    </row>
    <row r="33" spans="1:15" x14ac:dyDescent="0.25">
      <c r="A33" s="84" t="s">
        <v>16</v>
      </c>
      <c r="B33" s="84" t="s">
        <v>72</v>
      </c>
      <c r="C33" s="91">
        <v>5484.0848285756774</v>
      </c>
      <c r="D33" s="92">
        <v>6855.1060357195965</v>
      </c>
      <c r="E33" s="92">
        <v>1371.0212071439194</v>
      </c>
      <c r="F33" s="92">
        <v>9597.1484500074348</v>
      </c>
      <c r="G33" s="92">
        <v>4113.0636214317583</v>
      </c>
      <c r="H33" s="92">
        <v>9597.1484500074348</v>
      </c>
      <c r="I33" s="92">
        <v>6855.1060357195965</v>
      </c>
      <c r="J33" s="92">
        <v>6855.1060357195965</v>
      </c>
      <c r="K33" s="92">
        <v>8226.1272428635166</v>
      </c>
      <c r="L33" s="92">
        <v>6855.1060357195965</v>
      </c>
      <c r="M33" s="92">
        <v>5484.0848285756774</v>
      </c>
      <c r="N33" s="92">
        <v>5484.0848285756774</v>
      </c>
      <c r="O33" s="93">
        <v>76777.187600059493</v>
      </c>
    </row>
    <row r="34" spans="1:15" ht="13" x14ac:dyDescent="0.3">
      <c r="A34" s="214"/>
      <c r="B34" s="94" t="s">
        <v>25</v>
      </c>
      <c r="C34" s="252">
        <v>-80.692266248159285</v>
      </c>
      <c r="D34" s="253">
        <v>-100.86533281019911</v>
      </c>
      <c r="E34" s="253">
        <v>-20.173066562039821</v>
      </c>
      <c r="F34" s="253">
        <v>-141.21146593427875</v>
      </c>
      <c r="G34" s="253">
        <v>-60.519199686119464</v>
      </c>
      <c r="H34" s="253">
        <v>-141.21146593427875</v>
      </c>
      <c r="I34" s="253">
        <v>-100.86533281019911</v>
      </c>
      <c r="J34" s="253">
        <v>-100.86533281019911</v>
      </c>
      <c r="K34" s="253">
        <v>-121.03839937223893</v>
      </c>
      <c r="L34" s="253">
        <v>-100.86533281019911</v>
      </c>
      <c r="M34" s="253">
        <v>-80.692266248159285</v>
      </c>
      <c r="N34" s="253">
        <v>-80.692266248159285</v>
      </c>
      <c r="O34" s="254">
        <v>-1129.69172747423</v>
      </c>
    </row>
    <row r="35" spans="1:15" ht="13" x14ac:dyDescent="0.3">
      <c r="A35" s="214"/>
      <c r="B35" s="94" t="s">
        <v>26</v>
      </c>
      <c r="C35" s="252">
        <v>-6.6137538478723439</v>
      </c>
      <c r="D35" s="253">
        <v>-8.2671923098404303</v>
      </c>
      <c r="E35" s="253">
        <v>-1.653438461968086</v>
      </c>
      <c r="F35" s="253">
        <v>-11.574069233776603</v>
      </c>
      <c r="G35" s="253">
        <v>-4.9603153859042584</v>
      </c>
      <c r="H35" s="253">
        <v>-11.574069233776603</v>
      </c>
      <c r="I35" s="253">
        <v>-8.2671923098404303</v>
      </c>
      <c r="J35" s="253">
        <v>-8.2671923098404303</v>
      </c>
      <c r="K35" s="253">
        <v>-9.9206307718085167</v>
      </c>
      <c r="L35" s="253">
        <v>-8.2671923098404303</v>
      </c>
      <c r="M35" s="253">
        <v>-6.6137538478723439</v>
      </c>
      <c r="N35" s="253">
        <v>-6.6137538478723439</v>
      </c>
      <c r="O35" s="254">
        <v>-92.592553870212825</v>
      </c>
    </row>
    <row r="36" spans="1:15" ht="13" x14ac:dyDescent="0.3">
      <c r="A36" s="214"/>
      <c r="B36" s="94" t="s">
        <v>27</v>
      </c>
      <c r="C36" s="252">
        <v>-87.306020096031631</v>
      </c>
      <c r="D36" s="253">
        <v>-109.13252512003953</v>
      </c>
      <c r="E36" s="253">
        <v>-21.826505024007908</v>
      </c>
      <c r="F36" s="253">
        <v>-152.78553516805536</v>
      </c>
      <c r="G36" s="253">
        <v>-65.479515072023716</v>
      </c>
      <c r="H36" s="253">
        <v>-152.78553516805536</v>
      </c>
      <c r="I36" s="253">
        <v>-109.13252512003953</v>
      </c>
      <c r="J36" s="253">
        <v>-109.13252512003953</v>
      </c>
      <c r="K36" s="253">
        <v>-130.95903014404743</v>
      </c>
      <c r="L36" s="253">
        <v>-109.13252512003953</v>
      </c>
      <c r="M36" s="253">
        <v>-87.306020096031631</v>
      </c>
      <c r="N36" s="253">
        <v>-87.306020096031631</v>
      </c>
      <c r="O36" s="254">
        <v>-1222.2842813444431</v>
      </c>
    </row>
    <row r="37" spans="1:15" x14ac:dyDescent="0.25">
      <c r="A37" s="214"/>
      <c r="B37" s="94" t="s">
        <v>51</v>
      </c>
      <c r="C37" s="95">
        <v>5564.7770948238367</v>
      </c>
      <c r="D37" s="83">
        <v>6955.9713685297957</v>
      </c>
      <c r="E37" s="83">
        <v>1391.1942737059592</v>
      </c>
      <c r="F37" s="83">
        <v>9738.3599159417136</v>
      </c>
      <c r="G37" s="83">
        <v>4173.5828211178778</v>
      </c>
      <c r="H37" s="83">
        <v>9738.3599159417136</v>
      </c>
      <c r="I37" s="83">
        <v>6955.9713685297957</v>
      </c>
      <c r="J37" s="83">
        <v>6955.9713685297957</v>
      </c>
      <c r="K37" s="83">
        <v>8347.1656422357555</v>
      </c>
      <c r="L37" s="83">
        <v>6955.9713685297957</v>
      </c>
      <c r="M37" s="83">
        <v>5564.7770948238367</v>
      </c>
      <c r="N37" s="83">
        <v>5564.7770948238367</v>
      </c>
      <c r="O37" s="96">
        <v>77906.879327533708</v>
      </c>
    </row>
    <row r="38" spans="1:15" x14ac:dyDescent="0.25">
      <c r="A38" s="214"/>
      <c r="B38" s="94" t="s">
        <v>91</v>
      </c>
      <c r="C38" s="95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96">
        <v>0</v>
      </c>
    </row>
    <row r="39" spans="1:15" x14ac:dyDescent="0.25">
      <c r="A39" s="214"/>
      <c r="B39" s="94" t="s">
        <v>93</v>
      </c>
      <c r="C39" s="95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96">
        <v>0</v>
      </c>
    </row>
    <row r="40" spans="1:15" x14ac:dyDescent="0.25">
      <c r="A40" s="84" t="s">
        <v>19</v>
      </c>
      <c r="B40" s="84" t="s">
        <v>72</v>
      </c>
      <c r="C40" s="91">
        <v>86374.336050066922</v>
      </c>
      <c r="D40" s="92">
        <v>86374.336050066922</v>
      </c>
      <c r="E40" s="92">
        <v>91858.420878642602</v>
      </c>
      <c r="F40" s="92">
        <v>85003.314842923006</v>
      </c>
      <c r="G40" s="92">
        <v>69922.081564339882</v>
      </c>
      <c r="H40" s="92">
        <v>91858.420878642602</v>
      </c>
      <c r="I40" s="92">
        <v>90487.399671498672</v>
      </c>
      <c r="J40" s="92">
        <v>83632.293635779075</v>
      </c>
      <c r="K40" s="92">
        <v>75406.166392915562</v>
      </c>
      <c r="L40" s="92">
        <v>80890.251221491242</v>
      </c>
      <c r="M40" s="92">
        <v>86374.336050066922</v>
      </c>
      <c r="N40" s="92">
        <v>86374.336050066922</v>
      </c>
      <c r="O40" s="93">
        <v>1014555.6932865002</v>
      </c>
    </row>
    <row r="41" spans="1:15" ht="13" x14ac:dyDescent="0.3">
      <c r="A41" s="214"/>
      <c r="B41" s="94" t="s">
        <v>25</v>
      </c>
      <c r="C41" s="252">
        <v>-1270.9031934085069</v>
      </c>
      <c r="D41" s="253">
        <v>-1270.9031934085069</v>
      </c>
      <c r="E41" s="253">
        <v>-1351.5954596566589</v>
      </c>
      <c r="F41" s="253">
        <v>-1250.7301268464653</v>
      </c>
      <c r="G41" s="253">
        <v>-1028.8263946640363</v>
      </c>
      <c r="H41" s="253">
        <v>-1351.5954596566589</v>
      </c>
      <c r="I41" s="253">
        <v>-1331.4223930946318</v>
      </c>
      <c r="J41" s="253">
        <v>-1230.5570602844382</v>
      </c>
      <c r="K41" s="253">
        <v>-1109.5186609121884</v>
      </c>
      <c r="L41" s="253">
        <v>-1190.2109271603549</v>
      </c>
      <c r="M41" s="253">
        <v>-1270.9031934085069</v>
      </c>
      <c r="N41" s="253">
        <v>-1270.9031934085069</v>
      </c>
      <c r="O41" s="254">
        <v>-14928.06925590946</v>
      </c>
    </row>
    <row r="42" spans="1:15" ht="13" x14ac:dyDescent="0.3">
      <c r="A42" s="214"/>
      <c r="B42" s="94" t="s">
        <v>26</v>
      </c>
      <c r="C42" s="252">
        <v>-104.16662310398942</v>
      </c>
      <c r="D42" s="253">
        <v>-104.16662310398942</v>
      </c>
      <c r="E42" s="253">
        <v>-110.78037695186178</v>
      </c>
      <c r="F42" s="253">
        <v>-102.51318464202134</v>
      </c>
      <c r="G42" s="253">
        <v>-84.325361560372386</v>
      </c>
      <c r="H42" s="253">
        <v>-110.78037695186178</v>
      </c>
      <c r="I42" s="253">
        <v>-109.12693848989369</v>
      </c>
      <c r="J42" s="253">
        <v>-100.85974618005325</v>
      </c>
      <c r="K42" s="253">
        <v>-90.939115408244746</v>
      </c>
      <c r="L42" s="253">
        <v>-97.552869256117077</v>
      </c>
      <c r="M42" s="253">
        <v>-104.16662310398942</v>
      </c>
      <c r="N42" s="253">
        <v>-104.16662310398942</v>
      </c>
      <c r="O42" s="254">
        <v>-1223.5444618563838</v>
      </c>
    </row>
    <row r="43" spans="1:15" ht="13" x14ac:dyDescent="0.3">
      <c r="A43" s="214"/>
      <c r="B43" s="94" t="s">
        <v>27</v>
      </c>
      <c r="C43" s="252">
        <v>-1375.0698165124963</v>
      </c>
      <c r="D43" s="253">
        <v>-1375.0698165124963</v>
      </c>
      <c r="E43" s="253">
        <v>-1462.3758366085208</v>
      </c>
      <c r="F43" s="253">
        <v>-1353.2433114884866</v>
      </c>
      <c r="G43" s="253">
        <v>-1113.1517562244087</v>
      </c>
      <c r="H43" s="253">
        <v>-1462.3758366085208</v>
      </c>
      <c r="I43" s="253">
        <v>-1440.5493315845256</v>
      </c>
      <c r="J43" s="253">
        <v>-1331.4168064644914</v>
      </c>
      <c r="K43" s="253">
        <v>-1200.4577763204331</v>
      </c>
      <c r="L43" s="253">
        <v>-1287.7637964164719</v>
      </c>
      <c r="M43" s="253">
        <v>-1375.0698165124963</v>
      </c>
      <c r="N43" s="253">
        <v>-1375.0698165124963</v>
      </c>
      <c r="O43" s="254">
        <v>-16151.613717765842</v>
      </c>
    </row>
    <row r="44" spans="1:15" x14ac:dyDescent="0.25">
      <c r="A44" s="214"/>
      <c r="B44" s="94" t="s">
        <v>51</v>
      </c>
      <c r="C44" s="95">
        <v>87645.239243475429</v>
      </c>
      <c r="D44" s="83">
        <v>87645.239243475429</v>
      </c>
      <c r="E44" s="83">
        <v>93210.016338299261</v>
      </c>
      <c r="F44" s="83">
        <v>86254.044969769471</v>
      </c>
      <c r="G44" s="83">
        <v>70950.907959003918</v>
      </c>
      <c r="H44" s="83">
        <v>93210.016338299261</v>
      </c>
      <c r="I44" s="83">
        <v>91818.822064593303</v>
      </c>
      <c r="J44" s="83">
        <v>84862.850696063513</v>
      </c>
      <c r="K44" s="83">
        <v>76515.68505382775</v>
      </c>
      <c r="L44" s="83">
        <v>82080.462148651597</v>
      </c>
      <c r="M44" s="83">
        <v>87645.239243475429</v>
      </c>
      <c r="N44" s="83">
        <v>87645.239243475429</v>
      </c>
      <c r="O44" s="96">
        <v>1029483.7625424098</v>
      </c>
    </row>
    <row r="45" spans="1:15" x14ac:dyDescent="0.25">
      <c r="A45" s="214"/>
      <c r="B45" s="94" t="s">
        <v>91</v>
      </c>
      <c r="C45" s="95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96">
        <v>0</v>
      </c>
    </row>
    <row r="46" spans="1:15" x14ac:dyDescent="0.25">
      <c r="A46" s="214"/>
      <c r="B46" s="94" t="s">
        <v>93</v>
      </c>
      <c r="C46" s="95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96">
        <v>0</v>
      </c>
    </row>
    <row r="47" spans="1:15" x14ac:dyDescent="0.25">
      <c r="A47" s="84" t="s">
        <v>8</v>
      </c>
      <c r="B47" s="84" t="s">
        <v>72</v>
      </c>
      <c r="C47" s="91">
        <v>115165.78140008922</v>
      </c>
      <c r="D47" s="92">
        <v>113794.76019294531</v>
      </c>
      <c r="E47" s="92">
        <v>104197.61174293786</v>
      </c>
      <c r="F47" s="92">
        <v>94600.463292930435</v>
      </c>
      <c r="G47" s="92">
        <v>135731.09950724803</v>
      </c>
      <c r="H47" s="92">
        <v>204282.15986444399</v>
      </c>
      <c r="I47" s="92">
        <v>202911.13865730006</v>
      </c>
      <c r="J47" s="92">
        <v>219363.39314302709</v>
      </c>
      <c r="K47" s="92">
        <v>212508.28710730749</v>
      </c>
      <c r="L47" s="92">
        <v>150812.33278583112</v>
      </c>
      <c r="M47" s="92">
        <v>95971.484500074352</v>
      </c>
      <c r="N47" s="92">
        <v>90487.399671498672</v>
      </c>
      <c r="O47" s="93">
        <v>1739825.9118656334</v>
      </c>
    </row>
    <row r="48" spans="1:15" ht="13" x14ac:dyDescent="0.3">
      <c r="A48" s="214"/>
      <c r="B48" s="94" t="s">
        <v>25</v>
      </c>
      <c r="C48" s="252">
        <v>-1694.5375912113523</v>
      </c>
      <c r="D48" s="253">
        <v>-1674.3645246492961</v>
      </c>
      <c r="E48" s="253">
        <v>-1533.1530587150337</v>
      </c>
      <c r="F48" s="253">
        <v>-1391.9415927807422</v>
      </c>
      <c r="G48" s="253">
        <v>-1997.1335896419187</v>
      </c>
      <c r="H48" s="253">
        <v>-3005.7869177439134</v>
      </c>
      <c r="I48" s="253">
        <v>-2985.6138511819008</v>
      </c>
      <c r="J48" s="253">
        <v>-3227.6906499263714</v>
      </c>
      <c r="K48" s="253">
        <v>-3126.8253171161923</v>
      </c>
      <c r="L48" s="253">
        <v>-2219.0373218243767</v>
      </c>
      <c r="M48" s="253">
        <v>-1412.1146593427839</v>
      </c>
      <c r="N48" s="253">
        <v>-1331.4223930946318</v>
      </c>
      <c r="O48" s="254">
        <v>-25599.621467228513</v>
      </c>
    </row>
    <row r="49" spans="1:15" ht="13" x14ac:dyDescent="0.3">
      <c r="A49" s="214"/>
      <c r="B49" s="94" t="s">
        <v>26</v>
      </c>
      <c r="C49" s="252">
        <v>-138.88883080531923</v>
      </c>
      <c r="D49" s="253">
        <v>-137.23539234335115</v>
      </c>
      <c r="E49" s="253">
        <v>-125.66132310957455</v>
      </c>
      <c r="F49" s="253">
        <v>-114.08725387579796</v>
      </c>
      <c r="G49" s="253">
        <v>-163.69040773484053</v>
      </c>
      <c r="H49" s="253">
        <v>-246.36233083324484</v>
      </c>
      <c r="I49" s="253">
        <v>-244.70889237127673</v>
      </c>
      <c r="J49" s="253">
        <v>-264.55015391489377</v>
      </c>
      <c r="K49" s="253">
        <v>-256.28296160505334</v>
      </c>
      <c r="L49" s="253">
        <v>-181.87823081648949</v>
      </c>
      <c r="M49" s="253">
        <v>-115.74069233776603</v>
      </c>
      <c r="N49" s="253">
        <v>-109.12693848989369</v>
      </c>
      <c r="O49" s="254">
        <v>-2098.213408237501</v>
      </c>
    </row>
    <row r="50" spans="1:15" ht="13" x14ac:dyDescent="0.3">
      <c r="A50" s="214"/>
      <c r="B50" s="94" t="s">
        <v>27</v>
      </c>
      <c r="C50" s="252">
        <v>-1833.4264220166715</v>
      </c>
      <c r="D50" s="253">
        <v>-1811.5999169926472</v>
      </c>
      <c r="E50" s="253">
        <v>-1658.8143818246083</v>
      </c>
      <c r="F50" s="253">
        <v>-1506.0288466565403</v>
      </c>
      <c r="G50" s="253">
        <v>-2160.8239973767591</v>
      </c>
      <c r="H50" s="253">
        <v>-3252.1492485771582</v>
      </c>
      <c r="I50" s="253">
        <v>-3230.3227435531776</v>
      </c>
      <c r="J50" s="253">
        <v>-3492.240803841265</v>
      </c>
      <c r="K50" s="253">
        <v>-3383.1082787212458</v>
      </c>
      <c r="L50" s="253">
        <v>-2400.9155526408663</v>
      </c>
      <c r="M50" s="253">
        <v>-1527.8553516805498</v>
      </c>
      <c r="N50" s="253">
        <v>-1440.5493315845256</v>
      </c>
      <c r="O50" s="254">
        <v>-27697.834875466015</v>
      </c>
    </row>
    <row r="51" spans="1:15" x14ac:dyDescent="0.25">
      <c r="A51" s="214"/>
      <c r="B51" s="94" t="s">
        <v>51</v>
      </c>
      <c r="C51" s="95">
        <v>116860.31899130058</v>
      </c>
      <c r="D51" s="83">
        <v>115469.1247175946</v>
      </c>
      <c r="E51" s="83">
        <v>105730.7648016529</v>
      </c>
      <c r="F51" s="83">
        <v>95992.404885711177</v>
      </c>
      <c r="G51" s="83">
        <v>137728.23309688995</v>
      </c>
      <c r="H51" s="83">
        <v>207287.94678218791</v>
      </c>
      <c r="I51" s="83">
        <v>205896.75250848196</v>
      </c>
      <c r="J51" s="83">
        <v>222591.08379295346</v>
      </c>
      <c r="K51" s="83">
        <v>215635.11242442369</v>
      </c>
      <c r="L51" s="83">
        <v>153031.3701076555</v>
      </c>
      <c r="M51" s="83">
        <v>97383.599159417136</v>
      </c>
      <c r="N51" s="83">
        <v>91818.822064593303</v>
      </c>
      <c r="O51" s="96">
        <v>1765425.533332862</v>
      </c>
    </row>
    <row r="52" spans="1:15" x14ac:dyDescent="0.25">
      <c r="A52" s="214"/>
      <c r="B52" s="94" t="s">
        <v>91</v>
      </c>
      <c r="C52" s="95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96">
        <v>0</v>
      </c>
    </row>
    <row r="53" spans="1:15" x14ac:dyDescent="0.25">
      <c r="A53" s="214"/>
      <c r="B53" s="94" t="s">
        <v>93</v>
      </c>
      <c r="C53" s="95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96">
        <v>0</v>
      </c>
    </row>
    <row r="54" spans="1:15" x14ac:dyDescent="0.25">
      <c r="A54" s="84" t="s">
        <v>21</v>
      </c>
      <c r="B54" s="84" t="s">
        <v>72</v>
      </c>
      <c r="C54" s="91">
        <v>3852569.5920744133</v>
      </c>
      <c r="D54" s="92">
        <v>3799099.7649958003</v>
      </c>
      <c r="E54" s="92">
        <v>3275369.6638668235</v>
      </c>
      <c r="F54" s="92">
        <v>3279482.7274882551</v>
      </c>
      <c r="G54" s="92">
        <v>4429769.5202820031</v>
      </c>
      <c r="H54" s="92">
        <v>5621186.9492900698</v>
      </c>
      <c r="I54" s="92">
        <v>5467632.57408995</v>
      </c>
      <c r="J54" s="92">
        <v>5847405.4484688165</v>
      </c>
      <c r="K54" s="92">
        <v>5506021.1678899797</v>
      </c>
      <c r="L54" s="92">
        <v>4257020.8481818698</v>
      </c>
      <c r="M54" s="92">
        <v>3445376.2935526692</v>
      </c>
      <c r="N54" s="92">
        <v>3391906.4664740567</v>
      </c>
      <c r="O54" s="93">
        <v>52172841.016654715</v>
      </c>
    </row>
    <row r="55" spans="1:15" ht="13" x14ac:dyDescent="0.3">
      <c r="A55" s="214"/>
      <c r="B55" s="94" t="s">
        <v>25</v>
      </c>
      <c r="C55" s="252">
        <v>-56686.317039331887</v>
      </c>
      <c r="D55" s="253">
        <v>-55899.567443412729</v>
      </c>
      <c r="E55" s="253">
        <v>-48193.456016712822</v>
      </c>
      <c r="F55" s="253">
        <v>-48253.975216399413</v>
      </c>
      <c r="G55" s="253">
        <v>-65179.178061950952</v>
      </c>
      <c r="H55" s="253">
        <v>-82709.572904363275</v>
      </c>
      <c r="I55" s="253">
        <v>-80450.189449415542</v>
      </c>
      <c r="J55" s="253">
        <v>-86038.128887099214</v>
      </c>
      <c r="K55" s="253">
        <v>-81015.035313152708</v>
      </c>
      <c r="L55" s="253">
        <v>-62637.371675133705</v>
      </c>
      <c r="M55" s="253">
        <v>-50694.916270405985</v>
      </c>
      <c r="N55" s="253">
        <v>-49908.166674486361</v>
      </c>
      <c r="O55" s="254">
        <v>-767665.87495186459</v>
      </c>
    </row>
    <row r="56" spans="1:15" ht="13" x14ac:dyDescent="0.3">
      <c r="A56" s="214"/>
      <c r="B56" s="94" t="s">
        <v>26</v>
      </c>
      <c r="C56" s="252">
        <v>-4646.1620781303218</v>
      </c>
      <c r="D56" s="253">
        <v>-4581.6779781135665</v>
      </c>
      <c r="E56" s="253">
        <v>-3950.064485641758</v>
      </c>
      <c r="F56" s="253">
        <v>-3955.0248010276623</v>
      </c>
      <c r="G56" s="253">
        <v>-5342.259670618886</v>
      </c>
      <c r="H56" s="253">
        <v>-6779.0976940691535</v>
      </c>
      <c r="I56" s="253">
        <v>-6593.9125863287281</v>
      </c>
      <c r="J56" s="253">
        <v>-7051.9150402938876</v>
      </c>
      <c r="K56" s="253">
        <v>-6640.2088632638342</v>
      </c>
      <c r="L56" s="253">
        <v>-5133.9264244109081</v>
      </c>
      <c r="M56" s="253">
        <v>-4155.0908549258011</v>
      </c>
      <c r="N56" s="253">
        <v>-4090.6067549090453</v>
      </c>
      <c r="O56" s="254">
        <v>-62919.947231733553</v>
      </c>
    </row>
    <row r="57" spans="1:15" ht="13" x14ac:dyDescent="0.3">
      <c r="A57" s="214"/>
      <c r="B57" s="94" t="s">
        <v>27</v>
      </c>
      <c r="C57" s="252">
        <v>-61332.479117462208</v>
      </c>
      <c r="D57" s="253">
        <v>-60481.245421526299</v>
      </c>
      <c r="E57" s="253">
        <v>-52143.520502354579</v>
      </c>
      <c r="F57" s="253">
        <v>-52209.000017427075</v>
      </c>
      <c r="G57" s="253">
        <v>-70521.437732569844</v>
      </c>
      <c r="H57" s="253">
        <v>-89488.670598432422</v>
      </c>
      <c r="I57" s="253">
        <v>-87044.102035744276</v>
      </c>
      <c r="J57" s="253">
        <v>-93090.043927393097</v>
      </c>
      <c r="K57" s="253">
        <v>-87655.244176416541</v>
      </c>
      <c r="L57" s="253">
        <v>-67771.298099544612</v>
      </c>
      <c r="M57" s="253">
        <v>-54850.007125331787</v>
      </c>
      <c r="N57" s="253">
        <v>-53998.773429395405</v>
      </c>
      <c r="O57" s="254">
        <v>-830585.82218359818</v>
      </c>
    </row>
    <row r="58" spans="1:15" x14ac:dyDescent="0.25">
      <c r="A58" s="214"/>
      <c r="B58" s="94" t="s">
        <v>51</v>
      </c>
      <c r="C58" s="95">
        <v>3909255.9091137452</v>
      </c>
      <c r="D58" s="83">
        <v>3854999.3324392131</v>
      </c>
      <c r="E58" s="83">
        <v>3323563.1198835364</v>
      </c>
      <c r="F58" s="83">
        <v>3327736.7027046545</v>
      </c>
      <c r="G58" s="83">
        <v>4494948.698343954</v>
      </c>
      <c r="H58" s="83">
        <v>5703896.522194433</v>
      </c>
      <c r="I58" s="83">
        <v>5548082.7635393655</v>
      </c>
      <c r="J58" s="83">
        <v>5933443.5773559157</v>
      </c>
      <c r="K58" s="83">
        <v>5587036.2032031324</v>
      </c>
      <c r="L58" s="83">
        <v>4319658.2198570035</v>
      </c>
      <c r="M58" s="83">
        <v>3496071.2098230752</v>
      </c>
      <c r="N58" s="83">
        <v>3441814.6331485431</v>
      </c>
      <c r="O58" s="96">
        <v>52940506.891606577</v>
      </c>
    </row>
    <row r="59" spans="1:15" x14ac:dyDescent="0.25">
      <c r="A59" s="214"/>
      <c r="B59" s="94" t="s">
        <v>91</v>
      </c>
      <c r="C59" s="95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96">
        <v>0</v>
      </c>
    </row>
    <row r="60" spans="1:15" x14ac:dyDescent="0.25">
      <c r="A60" s="214"/>
      <c r="B60" s="94" t="s">
        <v>93</v>
      </c>
      <c r="C60" s="95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96">
        <v>0</v>
      </c>
    </row>
    <row r="61" spans="1:15" x14ac:dyDescent="0.25">
      <c r="A61" s="84" t="s">
        <v>22</v>
      </c>
      <c r="B61" s="84" t="s">
        <v>72</v>
      </c>
      <c r="C61" s="91">
        <v>3734661.7682600361</v>
      </c>
      <c r="D61" s="92">
        <v>3779905.4680957855</v>
      </c>
      <c r="E61" s="92">
        <v>3620867.008067091</v>
      </c>
      <c r="F61" s="92">
        <v>3313758.2576668533</v>
      </c>
      <c r="G61" s="92">
        <v>3899184.3131173067</v>
      </c>
      <c r="H61" s="92">
        <v>4798574.2250037175</v>
      </c>
      <c r="I61" s="92">
        <v>4893174.6882966477</v>
      </c>
      <c r="J61" s="92">
        <v>5163265.8661040002</v>
      </c>
      <c r="K61" s="92">
        <v>4738249.2918893853</v>
      </c>
      <c r="L61" s="92">
        <v>3852569.5920744133</v>
      </c>
      <c r="M61" s="92">
        <v>3426181.9966526544</v>
      </c>
      <c r="N61" s="92">
        <v>3471425.6964884037</v>
      </c>
      <c r="O61" s="93">
        <v>48691818.171716295</v>
      </c>
    </row>
    <row r="62" spans="1:15" ht="13" x14ac:dyDescent="0.3">
      <c r="A62" s="214"/>
      <c r="B62" s="94" t="s">
        <v>25</v>
      </c>
      <c r="C62" s="252">
        <v>-54951.433314996772</v>
      </c>
      <c r="D62" s="253">
        <v>-55617.144511544146</v>
      </c>
      <c r="E62" s="253">
        <v>-53277.068790347315</v>
      </c>
      <c r="F62" s="253">
        <v>-48758.301880449988</v>
      </c>
      <c r="G62" s="253">
        <v>-57372.201302441303</v>
      </c>
      <c r="H62" s="253">
        <v>-70605.732967139222</v>
      </c>
      <c r="I62" s="253">
        <v>-71997.674559920095</v>
      </c>
      <c r="J62" s="253">
        <v>-75971.768672642298</v>
      </c>
      <c r="K62" s="253">
        <v>-69718.11803840939</v>
      </c>
      <c r="L62" s="253">
        <v>-56686.317039331887</v>
      </c>
      <c r="M62" s="253">
        <v>-50412.493338537402</v>
      </c>
      <c r="N62" s="253">
        <v>-51078.204535084777</v>
      </c>
      <c r="O62" s="254">
        <v>-716446.45895084459</v>
      </c>
    </row>
    <row r="63" spans="1:15" ht="13" x14ac:dyDescent="0.3">
      <c r="A63" s="214"/>
      <c r="B63" s="94" t="s">
        <v>26</v>
      </c>
      <c r="C63" s="252">
        <v>-4503.9663704010673</v>
      </c>
      <c r="D63" s="253">
        <v>-4558.5298396460139</v>
      </c>
      <c r="E63" s="253">
        <v>-4366.7309780577152</v>
      </c>
      <c r="F63" s="253">
        <v>-3996.3607625768641</v>
      </c>
      <c r="G63" s="253">
        <v>-4702.3789858372365</v>
      </c>
      <c r="H63" s="253">
        <v>-5787.0346168883016</v>
      </c>
      <c r="I63" s="253">
        <v>-5901.1218707641001</v>
      </c>
      <c r="J63" s="253">
        <v>-6226.8492477718119</v>
      </c>
      <c r="K63" s="253">
        <v>-5714.2833245617066</v>
      </c>
      <c r="L63" s="253">
        <v>-4646.1620781303218</v>
      </c>
      <c r="M63" s="253">
        <v>-4131.9427164582476</v>
      </c>
      <c r="N63" s="253">
        <v>-4186.5061857031942</v>
      </c>
      <c r="O63" s="254">
        <v>-58721.866976796577</v>
      </c>
    </row>
    <row r="64" spans="1:15" ht="13" x14ac:dyDescent="0.3">
      <c r="A64" s="214"/>
      <c r="B64" s="94" t="s">
        <v>27</v>
      </c>
      <c r="C64" s="252">
        <v>-59455.399685397839</v>
      </c>
      <c r="D64" s="253">
        <v>-60175.674351190159</v>
      </c>
      <c r="E64" s="253">
        <v>-57643.799768405028</v>
      </c>
      <c r="F64" s="253">
        <v>-52754.662643026852</v>
      </c>
      <c r="G64" s="253">
        <v>-62074.580288278536</v>
      </c>
      <c r="H64" s="253">
        <v>-76392.767584027519</v>
      </c>
      <c r="I64" s="253">
        <v>-77898.79643068419</v>
      </c>
      <c r="J64" s="253">
        <v>-82198.617920414108</v>
      </c>
      <c r="K64" s="253">
        <v>-75432.401362971097</v>
      </c>
      <c r="L64" s="253">
        <v>-61332.479117462208</v>
      </c>
      <c r="M64" s="253">
        <v>-54544.436054995647</v>
      </c>
      <c r="N64" s="253">
        <v>-55264.710720787974</v>
      </c>
      <c r="O64" s="254">
        <v>-775168.32592764101</v>
      </c>
    </row>
    <row r="65" spans="1:15" x14ac:dyDescent="0.25">
      <c r="A65" s="214"/>
      <c r="B65" s="94" t="s">
        <v>51</v>
      </c>
      <c r="C65" s="95">
        <v>3789613.2015750329</v>
      </c>
      <c r="D65" s="83">
        <v>3835522.6126073296</v>
      </c>
      <c r="E65" s="83">
        <v>3674144.0768574383</v>
      </c>
      <c r="F65" s="83">
        <v>3362516.5595473032</v>
      </c>
      <c r="G65" s="83">
        <v>3956556.514419748</v>
      </c>
      <c r="H65" s="83">
        <v>4869179.9579708567</v>
      </c>
      <c r="I65" s="83">
        <v>4965172.3628565678</v>
      </c>
      <c r="J65" s="83">
        <v>5239237.6347766425</v>
      </c>
      <c r="K65" s="83">
        <v>4807967.4099277947</v>
      </c>
      <c r="L65" s="83">
        <v>3909255.9091137452</v>
      </c>
      <c r="M65" s="83">
        <v>3476594.4899911918</v>
      </c>
      <c r="N65" s="83">
        <v>3522503.9010234885</v>
      </c>
      <c r="O65" s="96">
        <v>49408264.630667135</v>
      </c>
    </row>
    <row r="66" spans="1:15" x14ac:dyDescent="0.25">
      <c r="A66" s="214"/>
      <c r="B66" s="94" t="s">
        <v>91</v>
      </c>
      <c r="C66" s="95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96">
        <v>0</v>
      </c>
    </row>
    <row r="67" spans="1:15" x14ac:dyDescent="0.25">
      <c r="A67" s="214"/>
      <c r="B67" s="94" t="s">
        <v>93</v>
      </c>
      <c r="C67" s="95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96">
        <v>0</v>
      </c>
    </row>
    <row r="68" spans="1:15" x14ac:dyDescent="0.25">
      <c r="A68" s="84" t="s">
        <v>9</v>
      </c>
      <c r="B68" s="84" t="s">
        <v>72</v>
      </c>
      <c r="C68" s="91">
        <v>72664.123978627729</v>
      </c>
      <c r="D68" s="92">
        <v>75406.166392915562</v>
      </c>
      <c r="E68" s="92">
        <v>63066.975528620293</v>
      </c>
      <c r="F68" s="92">
        <v>45243.699835749336</v>
      </c>
      <c r="G68" s="92">
        <v>60324.933114332453</v>
      </c>
      <c r="H68" s="92">
        <v>75406.166392915562</v>
      </c>
      <c r="I68" s="92">
        <v>78148.208807203409</v>
      </c>
      <c r="J68" s="92">
        <v>76777.187600059478</v>
      </c>
      <c r="K68" s="92">
        <v>82261.272428635159</v>
      </c>
      <c r="L68" s="92">
        <v>65809.017942908133</v>
      </c>
      <c r="M68" s="92">
        <v>74035.145185771646</v>
      </c>
      <c r="N68" s="92">
        <v>75406.166392915562</v>
      </c>
      <c r="O68" s="93">
        <v>844549.06360065425</v>
      </c>
    </row>
    <row r="69" spans="1:15" ht="13" x14ac:dyDescent="0.3">
      <c r="A69" s="214"/>
      <c r="B69" s="94" t="s">
        <v>25</v>
      </c>
      <c r="C69" s="252">
        <v>-1069.1725277881051</v>
      </c>
      <c r="D69" s="253">
        <v>-1109.5186609121884</v>
      </c>
      <c r="E69" s="253">
        <v>-927.96106185382814</v>
      </c>
      <c r="F69" s="253">
        <v>-665.71119654731592</v>
      </c>
      <c r="G69" s="253">
        <v>-887.61492872975214</v>
      </c>
      <c r="H69" s="253">
        <v>-1109.5186609121884</v>
      </c>
      <c r="I69" s="253">
        <v>-1149.8647940362571</v>
      </c>
      <c r="J69" s="253">
        <v>-1129.69172747423</v>
      </c>
      <c r="K69" s="253">
        <v>-1210.3839937223966</v>
      </c>
      <c r="L69" s="253">
        <v>-968.30719497791142</v>
      </c>
      <c r="M69" s="253">
        <v>-1089.3455943501467</v>
      </c>
      <c r="N69" s="253">
        <v>-1109.5186609121884</v>
      </c>
      <c r="O69" s="254">
        <v>-12426.609002216508</v>
      </c>
    </row>
    <row r="70" spans="1:15" ht="13" x14ac:dyDescent="0.3">
      <c r="A70" s="214"/>
      <c r="B70" s="94" t="s">
        <v>26</v>
      </c>
      <c r="C70" s="252">
        <v>-87.632238484308573</v>
      </c>
      <c r="D70" s="253">
        <v>-90.939115408244746</v>
      </c>
      <c r="E70" s="253">
        <v>-76.058169250531961</v>
      </c>
      <c r="F70" s="253">
        <v>-54.563469244946845</v>
      </c>
      <c r="G70" s="253">
        <v>-72.751292326595802</v>
      </c>
      <c r="H70" s="253">
        <v>-90.939115408244746</v>
      </c>
      <c r="I70" s="253">
        <v>-94.245992332180919</v>
      </c>
      <c r="J70" s="253">
        <v>-92.592553870212825</v>
      </c>
      <c r="K70" s="253">
        <v>-99.206307718085171</v>
      </c>
      <c r="L70" s="253">
        <v>-79.365046174468134</v>
      </c>
      <c r="M70" s="253">
        <v>-89.285676946276666</v>
      </c>
      <c r="N70" s="253">
        <v>-90.939115408244746</v>
      </c>
      <c r="O70" s="254">
        <v>-1018.5180925723412</v>
      </c>
    </row>
    <row r="71" spans="1:15" ht="13" x14ac:dyDescent="0.3">
      <c r="A71" s="214"/>
      <c r="B71" s="94" t="s">
        <v>27</v>
      </c>
      <c r="C71" s="252">
        <v>-1156.8047662724136</v>
      </c>
      <c r="D71" s="253">
        <v>-1200.4577763204331</v>
      </c>
      <c r="E71" s="253">
        <v>-1004.0192311043601</v>
      </c>
      <c r="F71" s="253">
        <v>-720.27466579226279</v>
      </c>
      <c r="G71" s="253">
        <v>-960.36622105634797</v>
      </c>
      <c r="H71" s="253">
        <v>-1200.4577763204331</v>
      </c>
      <c r="I71" s="253">
        <v>-1244.1107863684381</v>
      </c>
      <c r="J71" s="253">
        <v>-1222.2842813444429</v>
      </c>
      <c r="K71" s="253">
        <v>-1309.5903014404817</v>
      </c>
      <c r="L71" s="253">
        <v>-1047.6722411523795</v>
      </c>
      <c r="M71" s="253">
        <v>-1178.6312712964234</v>
      </c>
      <c r="N71" s="253">
        <v>-1200.4577763204331</v>
      </c>
      <c r="O71" s="254">
        <v>-13445.127094788848</v>
      </c>
    </row>
    <row r="72" spans="1:15" x14ac:dyDescent="0.25">
      <c r="A72" s="214"/>
      <c r="B72" s="94" t="s">
        <v>51</v>
      </c>
      <c r="C72" s="95">
        <v>73733.296506415834</v>
      </c>
      <c r="D72" s="83">
        <v>76515.68505382775</v>
      </c>
      <c r="E72" s="83">
        <v>63994.936590474121</v>
      </c>
      <c r="F72" s="83">
        <v>45909.411032296652</v>
      </c>
      <c r="G72" s="83">
        <v>61212.548043062205</v>
      </c>
      <c r="H72" s="83">
        <v>76515.68505382775</v>
      </c>
      <c r="I72" s="83">
        <v>79298.073601239666</v>
      </c>
      <c r="J72" s="83">
        <v>77906.879327533708</v>
      </c>
      <c r="K72" s="83">
        <v>83471.656422357555</v>
      </c>
      <c r="L72" s="83">
        <v>66777.325137886044</v>
      </c>
      <c r="M72" s="83">
        <v>75124.490780121792</v>
      </c>
      <c r="N72" s="83">
        <v>76515.68505382775</v>
      </c>
      <c r="O72" s="96">
        <v>856975.67260287062</v>
      </c>
    </row>
    <row r="73" spans="1:15" x14ac:dyDescent="0.25">
      <c r="A73" s="214"/>
      <c r="B73" s="94" t="s">
        <v>91</v>
      </c>
      <c r="C73" s="95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96">
        <v>0</v>
      </c>
    </row>
    <row r="74" spans="1:15" x14ac:dyDescent="0.25">
      <c r="A74" s="214"/>
      <c r="B74" s="94" t="s">
        <v>93</v>
      </c>
      <c r="C74" s="95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96">
        <v>0</v>
      </c>
    </row>
    <row r="75" spans="1:15" x14ac:dyDescent="0.25">
      <c r="A75" s="84" t="s">
        <v>56</v>
      </c>
      <c r="B75" s="84" t="s">
        <v>72</v>
      </c>
      <c r="C75" s="91">
        <v>154925.39640726289</v>
      </c>
      <c r="D75" s="92">
        <v>148070.29037154329</v>
      </c>
      <c r="E75" s="92">
        <v>131618.03588581627</v>
      </c>
      <c r="F75" s="92">
        <v>124762.92985009665</v>
      </c>
      <c r="G75" s="92">
        <v>171377.65089298991</v>
      </c>
      <c r="H75" s="92">
        <v>228960.54159303452</v>
      </c>
      <c r="I75" s="92">
        <v>219363.39314302709</v>
      </c>
      <c r="J75" s="92">
        <v>248154.83849304941</v>
      </c>
      <c r="K75" s="92">
        <v>215250.32952159533</v>
      </c>
      <c r="L75" s="92">
        <v>161780.50244298248</v>
      </c>
      <c r="M75" s="92">
        <v>139844.16312867976</v>
      </c>
      <c r="N75" s="92">
        <v>135731.09950724803</v>
      </c>
      <c r="O75" s="93">
        <v>2079839.1712373255</v>
      </c>
    </row>
    <row r="76" spans="1:15" x14ac:dyDescent="0.25">
      <c r="A76" s="214"/>
      <c r="B76" s="94" t="s">
        <v>25</v>
      </c>
      <c r="C76" s="95">
        <v>-2279.5565215105016</v>
      </c>
      <c r="D76" s="83">
        <v>-2178.6911887002934</v>
      </c>
      <c r="E76" s="83">
        <v>-1936.6143899558228</v>
      </c>
      <c r="F76" s="83">
        <v>-1835.7490571456292</v>
      </c>
      <c r="G76" s="83">
        <v>-2521.6333202549722</v>
      </c>
      <c r="H76" s="83">
        <v>-3368.9021158606629</v>
      </c>
      <c r="I76" s="83">
        <v>-3227.6906499263714</v>
      </c>
      <c r="J76" s="83">
        <v>-3651.3250477292167</v>
      </c>
      <c r="K76" s="83">
        <v>-3167.1714502402756</v>
      </c>
      <c r="L76" s="83">
        <v>-2380.4218543207098</v>
      </c>
      <c r="M76" s="83">
        <v>-2057.6527893280727</v>
      </c>
      <c r="N76" s="83">
        <v>-1997.1335896419187</v>
      </c>
      <c r="O76" s="96">
        <v>-30602.541974614447</v>
      </c>
    </row>
    <row r="77" spans="1:15" x14ac:dyDescent="0.25">
      <c r="A77" s="214"/>
      <c r="B77" s="94" t="s">
        <v>26</v>
      </c>
      <c r="C77" s="95">
        <v>-186.83854620239373</v>
      </c>
      <c r="D77" s="83">
        <v>-178.57135389255333</v>
      </c>
      <c r="E77" s="83">
        <v>-158.73009234893627</v>
      </c>
      <c r="F77" s="83">
        <v>-150.46290003909584</v>
      </c>
      <c r="G77" s="83">
        <v>-206.67980774601077</v>
      </c>
      <c r="H77" s="83">
        <v>-276.12422314867041</v>
      </c>
      <c r="I77" s="83">
        <v>-264.55015391489377</v>
      </c>
      <c r="J77" s="83">
        <v>-299.27236161622358</v>
      </c>
      <c r="K77" s="83">
        <v>-259.5898385289895</v>
      </c>
      <c r="L77" s="83">
        <v>-195.10573851223415</v>
      </c>
      <c r="M77" s="83">
        <v>-168.65072312074477</v>
      </c>
      <c r="N77" s="83">
        <v>-163.69040773484053</v>
      </c>
      <c r="O77" s="96">
        <v>-2508.2661468055867</v>
      </c>
    </row>
    <row r="78" spans="1:15" x14ac:dyDescent="0.25">
      <c r="A78" s="214"/>
      <c r="B78" s="94" t="s">
        <v>27</v>
      </c>
      <c r="C78" s="95">
        <v>-2466.3950677128955</v>
      </c>
      <c r="D78" s="83">
        <v>-2357.2625425928468</v>
      </c>
      <c r="E78" s="83">
        <v>-2095.3444823047589</v>
      </c>
      <c r="F78" s="83">
        <v>-1986.211957184725</v>
      </c>
      <c r="G78" s="83">
        <v>-2728.3131280009829</v>
      </c>
      <c r="H78" s="83">
        <v>-3645.0263390093332</v>
      </c>
      <c r="I78" s="83">
        <v>-3492.240803841265</v>
      </c>
      <c r="J78" s="83">
        <v>-3950.5974093454402</v>
      </c>
      <c r="K78" s="83">
        <v>-3426.7612887692649</v>
      </c>
      <c r="L78" s="83">
        <v>-2575.5275928329438</v>
      </c>
      <c r="M78" s="83">
        <v>-2226.3035124488174</v>
      </c>
      <c r="N78" s="83">
        <v>-2160.8239973767591</v>
      </c>
      <c r="O78" s="96">
        <v>-33110.808121420021</v>
      </c>
    </row>
    <row r="79" spans="1:15" x14ac:dyDescent="0.25">
      <c r="A79" s="214"/>
      <c r="B79" s="94" t="s">
        <v>51</v>
      </c>
      <c r="C79" s="95">
        <v>157204.95292877339</v>
      </c>
      <c r="D79" s="83">
        <v>150248.98156024358</v>
      </c>
      <c r="E79" s="83">
        <v>133554.65027577209</v>
      </c>
      <c r="F79" s="83">
        <v>126598.67890724228</v>
      </c>
      <c r="G79" s="83">
        <v>173899.28421324489</v>
      </c>
      <c r="H79" s="83">
        <v>232329.44370889518</v>
      </c>
      <c r="I79" s="83">
        <v>222591.08379295346</v>
      </c>
      <c r="J79" s="83">
        <v>251806.16354077862</v>
      </c>
      <c r="K79" s="83">
        <v>218417.5009718356</v>
      </c>
      <c r="L79" s="83">
        <v>164160.92429730319</v>
      </c>
      <c r="M79" s="83">
        <v>141901.81591800784</v>
      </c>
      <c r="N79" s="83">
        <v>137728.23309688995</v>
      </c>
      <c r="O79" s="96">
        <v>2110441.7132119401</v>
      </c>
    </row>
    <row r="80" spans="1:15" x14ac:dyDescent="0.25">
      <c r="A80" s="214"/>
      <c r="B80" s="94" t="s">
        <v>91</v>
      </c>
      <c r="C80" s="95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96">
        <v>0</v>
      </c>
    </row>
    <row r="81" spans="1:15" x14ac:dyDescent="0.25">
      <c r="A81" s="214"/>
      <c r="B81" s="94" t="s">
        <v>93</v>
      </c>
      <c r="C81" s="95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96">
        <v>0</v>
      </c>
    </row>
    <row r="82" spans="1:15" x14ac:dyDescent="0.25">
      <c r="A82" s="84" t="s">
        <v>57</v>
      </c>
      <c r="B82" s="84" t="s">
        <v>72</v>
      </c>
      <c r="C82" s="91">
        <v>9597.1484500074348</v>
      </c>
      <c r="D82" s="92">
        <v>13710.212071439193</v>
      </c>
      <c r="E82" s="92">
        <v>10968.169657151355</v>
      </c>
      <c r="F82" s="92">
        <v>10968.169657151355</v>
      </c>
      <c r="G82" s="92">
        <v>13710.212071439193</v>
      </c>
      <c r="H82" s="92">
        <v>16452.254485727033</v>
      </c>
      <c r="I82" s="92">
        <v>19194.29690001487</v>
      </c>
      <c r="J82" s="92">
        <v>17823.275692870953</v>
      </c>
      <c r="K82" s="92">
        <v>17823.275692870953</v>
      </c>
      <c r="L82" s="92">
        <v>15081.233278583113</v>
      </c>
      <c r="M82" s="92">
        <v>9597.1484500074348</v>
      </c>
      <c r="N82" s="92">
        <v>10968.169657151355</v>
      </c>
      <c r="O82" s="93">
        <v>165893.56606441425</v>
      </c>
    </row>
    <row r="83" spans="1:15" x14ac:dyDescent="0.25">
      <c r="A83" s="214"/>
      <c r="B83" s="94" t="s">
        <v>25</v>
      </c>
      <c r="C83" s="95">
        <v>-141.21146593427875</v>
      </c>
      <c r="D83" s="83">
        <v>-201.73066562039821</v>
      </c>
      <c r="E83" s="83">
        <v>-161.38453249631857</v>
      </c>
      <c r="F83" s="83">
        <v>-161.38453249631857</v>
      </c>
      <c r="G83" s="83">
        <v>-201.73066562039821</v>
      </c>
      <c r="H83" s="83">
        <v>-242.07679874447786</v>
      </c>
      <c r="I83" s="83">
        <v>-282.4229318685575</v>
      </c>
      <c r="J83" s="83">
        <v>-262.24986530651586</v>
      </c>
      <c r="K83" s="83">
        <v>-262.24986530651586</v>
      </c>
      <c r="L83" s="83">
        <v>-221.90373218243803</v>
      </c>
      <c r="M83" s="83">
        <v>-141.21146593427875</v>
      </c>
      <c r="N83" s="83">
        <v>-161.38453249631857</v>
      </c>
      <c r="O83" s="96">
        <v>-2440.9410540068147</v>
      </c>
    </row>
    <row r="84" spans="1:15" x14ac:dyDescent="0.25">
      <c r="A84" s="214"/>
      <c r="B84" s="94" t="s">
        <v>26</v>
      </c>
      <c r="C84" s="95">
        <v>-11.574069233776603</v>
      </c>
      <c r="D84" s="83">
        <v>-16.534384619680861</v>
      </c>
      <c r="E84" s="83">
        <v>-13.227507695744688</v>
      </c>
      <c r="F84" s="83">
        <v>-13.227507695744688</v>
      </c>
      <c r="G84" s="83">
        <v>-16.534384619680861</v>
      </c>
      <c r="H84" s="83">
        <v>-19.841261543617033</v>
      </c>
      <c r="I84" s="83">
        <v>-23.148138467553206</v>
      </c>
      <c r="J84" s="83">
        <v>-21.49470000558512</v>
      </c>
      <c r="K84" s="83">
        <v>-21.49470000558512</v>
      </c>
      <c r="L84" s="83">
        <v>-18.187823081648951</v>
      </c>
      <c r="M84" s="83">
        <v>-11.574069233776603</v>
      </c>
      <c r="N84" s="83">
        <v>-13.227507695744688</v>
      </c>
      <c r="O84" s="96">
        <v>-200.06605389813845</v>
      </c>
    </row>
    <row r="85" spans="1:15" x14ac:dyDescent="0.25">
      <c r="A85" s="214"/>
      <c r="B85" s="94" t="s">
        <v>27</v>
      </c>
      <c r="C85" s="95">
        <v>-152.78553516805536</v>
      </c>
      <c r="D85" s="83">
        <v>-218.26505024007906</v>
      </c>
      <c r="E85" s="83">
        <v>-174.61204019206326</v>
      </c>
      <c r="F85" s="83">
        <v>-174.61204019206326</v>
      </c>
      <c r="G85" s="83">
        <v>-218.26505024007906</v>
      </c>
      <c r="H85" s="83">
        <v>-261.91806028809486</v>
      </c>
      <c r="I85" s="83">
        <v>-305.57107033611072</v>
      </c>
      <c r="J85" s="83">
        <v>-283.74456531210097</v>
      </c>
      <c r="K85" s="83">
        <v>-283.74456531210097</v>
      </c>
      <c r="L85" s="83">
        <v>-240.09155526408699</v>
      </c>
      <c r="M85" s="83">
        <v>-152.78553516805536</v>
      </c>
      <c r="N85" s="83">
        <v>-174.61204019206326</v>
      </c>
      <c r="O85" s="96">
        <v>-2641.007107904954</v>
      </c>
    </row>
    <row r="86" spans="1:15" x14ac:dyDescent="0.25">
      <c r="A86" s="214"/>
      <c r="B86" s="94" t="s">
        <v>51</v>
      </c>
      <c r="C86" s="95">
        <v>9738.3599159417136</v>
      </c>
      <c r="D86" s="83">
        <v>13911.942737059591</v>
      </c>
      <c r="E86" s="83">
        <v>11129.554189647673</v>
      </c>
      <c r="F86" s="83">
        <v>11129.554189647673</v>
      </c>
      <c r="G86" s="83">
        <v>13911.942737059591</v>
      </c>
      <c r="H86" s="83">
        <v>16694.331284471511</v>
      </c>
      <c r="I86" s="83">
        <v>19476.719831883427</v>
      </c>
      <c r="J86" s="83">
        <v>18085.525558177469</v>
      </c>
      <c r="K86" s="83">
        <v>18085.525558177469</v>
      </c>
      <c r="L86" s="83">
        <v>15303.137010765551</v>
      </c>
      <c r="M86" s="83">
        <v>9738.3599159417136</v>
      </c>
      <c r="N86" s="83">
        <v>11129.554189647673</v>
      </c>
      <c r="O86" s="96">
        <v>168334.50711842105</v>
      </c>
    </row>
    <row r="87" spans="1:15" x14ac:dyDescent="0.25">
      <c r="A87" s="214"/>
      <c r="B87" s="94" t="s">
        <v>91</v>
      </c>
      <c r="C87" s="95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96">
        <v>0</v>
      </c>
    </row>
    <row r="88" spans="1:15" x14ac:dyDescent="0.25">
      <c r="A88" s="214"/>
      <c r="B88" s="94" t="s">
        <v>93</v>
      </c>
      <c r="C88" s="95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96">
        <v>0</v>
      </c>
    </row>
    <row r="89" spans="1:15" x14ac:dyDescent="0.25">
      <c r="A89" s="84" t="s">
        <v>58</v>
      </c>
      <c r="B89" s="84" t="s">
        <v>72</v>
      </c>
      <c r="C89" s="91">
        <v>28791.445350022306</v>
      </c>
      <c r="D89" s="92">
        <v>28791.445350022306</v>
      </c>
      <c r="E89" s="92">
        <v>26049.402935734466</v>
      </c>
      <c r="F89" s="92">
        <v>28791.445350022306</v>
      </c>
      <c r="G89" s="92">
        <v>38388.593800029739</v>
      </c>
      <c r="H89" s="92">
        <v>50727.784664325016</v>
      </c>
      <c r="I89" s="92">
        <v>52098.805871468932</v>
      </c>
      <c r="J89" s="92">
        <v>54840.848285756772</v>
      </c>
      <c r="K89" s="92">
        <v>50727.784664325016</v>
      </c>
      <c r="L89" s="92">
        <v>41130.636214317579</v>
      </c>
      <c r="M89" s="92">
        <v>26049.402935734466</v>
      </c>
      <c r="N89" s="92">
        <v>27420.424142878386</v>
      </c>
      <c r="O89" s="93">
        <v>453808.01956463733</v>
      </c>
    </row>
    <row r="90" spans="1:15" x14ac:dyDescent="0.25">
      <c r="A90" s="214"/>
      <c r="B90" s="94" t="s">
        <v>25</v>
      </c>
      <c r="C90" s="95">
        <v>-423.63439780283807</v>
      </c>
      <c r="D90" s="83">
        <v>-423.63439780283807</v>
      </c>
      <c r="E90" s="83">
        <v>-383.28826467875842</v>
      </c>
      <c r="F90" s="83">
        <v>-423.63439780283807</v>
      </c>
      <c r="G90" s="83">
        <v>-564.845863737115</v>
      </c>
      <c r="H90" s="83">
        <v>-746.40346279547521</v>
      </c>
      <c r="I90" s="83">
        <v>-766.57652935751685</v>
      </c>
      <c r="J90" s="83">
        <v>-806.92266248159285</v>
      </c>
      <c r="K90" s="83">
        <v>-746.40346279547521</v>
      </c>
      <c r="L90" s="83">
        <v>-605.19199686119828</v>
      </c>
      <c r="M90" s="83">
        <v>-383.28826467875842</v>
      </c>
      <c r="N90" s="83">
        <v>-403.46133124079643</v>
      </c>
      <c r="O90" s="96">
        <v>-6677.2850320352009</v>
      </c>
    </row>
    <row r="91" spans="1:15" x14ac:dyDescent="0.25">
      <c r="A91" s="214"/>
      <c r="B91" s="94" t="s">
        <v>26</v>
      </c>
      <c r="C91" s="95">
        <v>-34.722207701329808</v>
      </c>
      <c r="D91" s="83">
        <v>-34.722207701329808</v>
      </c>
      <c r="E91" s="83">
        <v>-31.415330777393638</v>
      </c>
      <c r="F91" s="83">
        <v>-34.722207701329808</v>
      </c>
      <c r="G91" s="83">
        <v>-46.296276935106413</v>
      </c>
      <c r="H91" s="83">
        <v>-61.177223092819183</v>
      </c>
      <c r="I91" s="83">
        <v>-62.830661554787277</v>
      </c>
      <c r="J91" s="83">
        <v>-66.137538478723442</v>
      </c>
      <c r="K91" s="83">
        <v>-61.177223092819183</v>
      </c>
      <c r="L91" s="83">
        <v>-49.603153859042585</v>
      </c>
      <c r="M91" s="83">
        <v>-31.415330777393638</v>
      </c>
      <c r="N91" s="83">
        <v>-33.068769239361721</v>
      </c>
      <c r="O91" s="96">
        <v>-547.2881309114365</v>
      </c>
    </row>
    <row r="92" spans="1:15" x14ac:dyDescent="0.25">
      <c r="A92" s="214"/>
      <c r="B92" s="94" t="s">
        <v>27</v>
      </c>
      <c r="C92" s="95">
        <v>-458.35660550416787</v>
      </c>
      <c r="D92" s="83">
        <v>-458.35660550416787</v>
      </c>
      <c r="E92" s="83">
        <v>-414.70359545615207</v>
      </c>
      <c r="F92" s="83">
        <v>-458.35660550416787</v>
      </c>
      <c r="G92" s="83">
        <v>-611.14214067222144</v>
      </c>
      <c r="H92" s="83">
        <v>-807.5806858882944</v>
      </c>
      <c r="I92" s="83">
        <v>-829.40719091230415</v>
      </c>
      <c r="J92" s="83">
        <v>-873.06020096031625</v>
      </c>
      <c r="K92" s="83">
        <v>-807.5806858882944</v>
      </c>
      <c r="L92" s="83">
        <v>-654.79515072024083</v>
      </c>
      <c r="M92" s="83">
        <v>-414.70359545615207</v>
      </c>
      <c r="N92" s="83">
        <v>-436.53010048015813</v>
      </c>
      <c r="O92" s="96">
        <v>-7224.5731629466372</v>
      </c>
    </row>
    <row r="93" spans="1:15" x14ac:dyDescent="0.25">
      <c r="A93" s="214"/>
      <c r="B93" s="94" t="s">
        <v>51</v>
      </c>
      <c r="C93" s="95">
        <v>29215.079747825144</v>
      </c>
      <c r="D93" s="83">
        <v>29215.079747825144</v>
      </c>
      <c r="E93" s="83">
        <v>26432.691200413225</v>
      </c>
      <c r="F93" s="83">
        <v>29215.079747825144</v>
      </c>
      <c r="G93" s="83">
        <v>38953.439663766854</v>
      </c>
      <c r="H93" s="83">
        <v>51474.188127120491</v>
      </c>
      <c r="I93" s="83">
        <v>52865.382400826449</v>
      </c>
      <c r="J93" s="83">
        <v>55647.770948238365</v>
      </c>
      <c r="K93" s="83">
        <v>51474.188127120491</v>
      </c>
      <c r="L93" s="83">
        <v>41735.828211178778</v>
      </c>
      <c r="M93" s="83">
        <v>26432.691200413225</v>
      </c>
      <c r="N93" s="83">
        <v>27823.885474119183</v>
      </c>
      <c r="O93" s="96">
        <v>460485.30459667247</v>
      </c>
    </row>
    <row r="94" spans="1:15" x14ac:dyDescent="0.25">
      <c r="A94" s="214"/>
      <c r="B94" s="94" t="s">
        <v>91</v>
      </c>
      <c r="C94" s="95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96">
        <v>0</v>
      </c>
    </row>
    <row r="95" spans="1:15" x14ac:dyDescent="0.25">
      <c r="A95" s="214"/>
      <c r="B95" s="94" t="s">
        <v>93</v>
      </c>
      <c r="C95" s="95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96">
        <v>0</v>
      </c>
    </row>
    <row r="96" spans="1:15" x14ac:dyDescent="0.25">
      <c r="A96" s="84" t="s">
        <v>59</v>
      </c>
      <c r="B96" s="84" t="s">
        <v>72</v>
      </c>
      <c r="C96" s="91">
        <v>49356.7634571811</v>
      </c>
      <c r="D96" s="92">
        <v>43872.678628605419</v>
      </c>
      <c r="E96" s="92">
        <v>43872.678628605419</v>
      </c>
      <c r="F96" s="92">
        <v>42501.657421461503</v>
      </c>
      <c r="G96" s="92">
        <v>52098.805871468932</v>
      </c>
      <c r="H96" s="92">
        <v>65809.017942908133</v>
      </c>
      <c r="I96" s="92">
        <v>67180.039150052049</v>
      </c>
      <c r="J96" s="92">
        <v>68551.060357195965</v>
      </c>
      <c r="K96" s="92">
        <v>64437.996735764209</v>
      </c>
      <c r="L96" s="92">
        <v>49356.7634571811</v>
      </c>
      <c r="M96" s="92">
        <v>35646.551385741906</v>
      </c>
      <c r="N96" s="92">
        <v>42501.657421461503</v>
      </c>
      <c r="O96" s="93">
        <v>625185.67045762728</v>
      </c>
    </row>
    <row r="97" spans="1:15" x14ac:dyDescent="0.25">
      <c r="A97" s="214"/>
      <c r="B97" s="94" t="s">
        <v>25</v>
      </c>
      <c r="C97" s="95">
        <v>-726.23039623343357</v>
      </c>
      <c r="D97" s="83">
        <v>-645.53812998527428</v>
      </c>
      <c r="E97" s="83">
        <v>-645.53812998527428</v>
      </c>
      <c r="F97" s="83">
        <v>-625.36506342323264</v>
      </c>
      <c r="G97" s="83">
        <v>-766.57652935751685</v>
      </c>
      <c r="H97" s="83">
        <v>-968.30719497791142</v>
      </c>
      <c r="I97" s="83">
        <v>-988.48026153995306</v>
      </c>
      <c r="J97" s="83">
        <v>-1008.6533281019947</v>
      </c>
      <c r="K97" s="83">
        <v>-948.13412841586978</v>
      </c>
      <c r="L97" s="83">
        <v>-726.23039623343357</v>
      </c>
      <c r="M97" s="83">
        <v>-524.49973061303172</v>
      </c>
      <c r="N97" s="83">
        <v>-625.36506342323264</v>
      </c>
      <c r="O97" s="96">
        <v>-9198.9183522901585</v>
      </c>
    </row>
    <row r="98" spans="1:15" x14ac:dyDescent="0.25">
      <c r="A98" s="214"/>
      <c r="B98" s="94" t="s">
        <v>26</v>
      </c>
      <c r="C98" s="95">
        <v>-59.523784630851104</v>
      </c>
      <c r="D98" s="83">
        <v>-52.910030782978751</v>
      </c>
      <c r="E98" s="83">
        <v>-52.910030782978751</v>
      </c>
      <c r="F98" s="83">
        <v>-51.256592321010672</v>
      </c>
      <c r="G98" s="83">
        <v>-62.830661554787277</v>
      </c>
      <c r="H98" s="83">
        <v>-79.365046174468134</v>
      </c>
      <c r="I98" s="83">
        <v>-81.018484636436213</v>
      </c>
      <c r="J98" s="83">
        <v>-82.671923098404307</v>
      </c>
      <c r="K98" s="83">
        <v>-77.711607712500054</v>
      </c>
      <c r="L98" s="83">
        <v>-59.523784630851104</v>
      </c>
      <c r="M98" s="83">
        <v>-42.98940001117024</v>
      </c>
      <c r="N98" s="83">
        <v>-51.256592321010672</v>
      </c>
      <c r="O98" s="96">
        <v>-753.96793865744723</v>
      </c>
    </row>
    <row r="99" spans="1:15" x14ac:dyDescent="0.25">
      <c r="A99" s="214"/>
      <c r="B99" s="94" t="s">
        <v>27</v>
      </c>
      <c r="C99" s="95">
        <v>-785.75418086428465</v>
      </c>
      <c r="D99" s="83">
        <v>-698.44816076825305</v>
      </c>
      <c r="E99" s="83">
        <v>-698.44816076825305</v>
      </c>
      <c r="F99" s="83">
        <v>-676.6216557442433</v>
      </c>
      <c r="G99" s="83">
        <v>-829.40719091230415</v>
      </c>
      <c r="H99" s="83">
        <v>-1047.6722411523795</v>
      </c>
      <c r="I99" s="83">
        <v>-1069.4987461763892</v>
      </c>
      <c r="J99" s="83">
        <v>-1091.325251200399</v>
      </c>
      <c r="K99" s="83">
        <v>-1025.8457361283699</v>
      </c>
      <c r="L99" s="83">
        <v>-785.75418086428465</v>
      </c>
      <c r="M99" s="83">
        <v>-567.48913062420195</v>
      </c>
      <c r="N99" s="83">
        <v>-676.6216557442433</v>
      </c>
      <c r="O99" s="96">
        <v>-9952.8862909476084</v>
      </c>
    </row>
    <row r="100" spans="1:15" x14ac:dyDescent="0.25">
      <c r="A100" s="214"/>
      <c r="B100" s="94" t="s">
        <v>51</v>
      </c>
      <c r="C100" s="95">
        <v>50082.993853414533</v>
      </c>
      <c r="D100" s="83">
        <v>44518.216758590694</v>
      </c>
      <c r="E100" s="83">
        <v>44518.216758590694</v>
      </c>
      <c r="F100" s="83">
        <v>43127.022484884736</v>
      </c>
      <c r="G100" s="83">
        <v>52865.382400826449</v>
      </c>
      <c r="H100" s="83">
        <v>66777.325137886044</v>
      </c>
      <c r="I100" s="83">
        <v>68168.519411592002</v>
      </c>
      <c r="J100" s="83">
        <v>69559.71368529796</v>
      </c>
      <c r="K100" s="83">
        <v>65386.130864180079</v>
      </c>
      <c r="L100" s="83">
        <v>50082.993853414533</v>
      </c>
      <c r="M100" s="83">
        <v>36171.051116354938</v>
      </c>
      <c r="N100" s="83">
        <v>43127.022484884736</v>
      </c>
      <c r="O100" s="96">
        <v>634384.58880991733</v>
      </c>
    </row>
    <row r="101" spans="1:15" x14ac:dyDescent="0.25">
      <c r="A101" s="214"/>
      <c r="B101" s="94" t="s">
        <v>91</v>
      </c>
      <c r="C101" s="95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96">
        <v>0</v>
      </c>
    </row>
    <row r="102" spans="1:15" x14ac:dyDescent="0.25">
      <c r="A102" s="214"/>
      <c r="B102" s="94" t="s">
        <v>93</v>
      </c>
      <c r="C102" s="95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96">
        <v>0</v>
      </c>
    </row>
    <row r="103" spans="1:15" x14ac:dyDescent="0.25">
      <c r="A103" s="84" t="s">
        <v>83</v>
      </c>
      <c r="B103" s="84" t="s">
        <v>72</v>
      </c>
      <c r="C103" s="91">
        <v>187829.90537871694</v>
      </c>
      <c r="D103" s="92">
        <v>180974.79934299734</v>
      </c>
      <c r="E103" s="92">
        <v>202911.13865730006</v>
      </c>
      <c r="F103" s="92">
        <v>126133.95105724059</v>
      </c>
      <c r="G103" s="92">
        <v>142586.20554296763</v>
      </c>
      <c r="H103" s="92">
        <v>213879.30831445142</v>
      </c>
      <c r="I103" s="92">
        <v>212508.28710730749</v>
      </c>
      <c r="J103" s="92">
        <v>217992.37193588319</v>
      </c>
      <c r="K103" s="92">
        <v>197427.0538287244</v>
      </c>
      <c r="L103" s="92">
        <v>160409.48123583855</v>
      </c>
      <c r="M103" s="92">
        <v>183716.8417572852</v>
      </c>
      <c r="N103" s="92">
        <v>198798.0750358683</v>
      </c>
      <c r="O103" s="93">
        <v>2225167.419194581</v>
      </c>
    </row>
    <row r="104" spans="1:15" x14ac:dyDescent="0.25">
      <c r="A104" s="214"/>
      <c r="B104" s="94" t="s">
        <v>25</v>
      </c>
      <c r="C104" s="95">
        <v>-2763.7101189994719</v>
      </c>
      <c r="D104" s="83">
        <v>-2662.8447861892637</v>
      </c>
      <c r="E104" s="83">
        <v>-2985.6138511819008</v>
      </c>
      <c r="F104" s="83">
        <v>-1855.9221237076563</v>
      </c>
      <c r="G104" s="83">
        <v>-2097.9989224521269</v>
      </c>
      <c r="H104" s="83">
        <v>-3146.9983836782048</v>
      </c>
      <c r="I104" s="83">
        <v>-3126.8253171161923</v>
      </c>
      <c r="J104" s="83">
        <v>-3207.5175833643298</v>
      </c>
      <c r="K104" s="83">
        <v>-2904.9215849337343</v>
      </c>
      <c r="L104" s="83">
        <v>-2360.2487877586682</v>
      </c>
      <c r="M104" s="83">
        <v>-2703.1909193133179</v>
      </c>
      <c r="N104" s="83">
        <v>-2925.0946514957759</v>
      </c>
      <c r="O104" s="96">
        <v>-32740.887030190643</v>
      </c>
    </row>
    <row r="105" spans="1:15" x14ac:dyDescent="0.25">
      <c r="A105" s="214"/>
      <c r="B105" s="94" t="s">
        <v>26</v>
      </c>
      <c r="C105" s="95">
        <v>-226.5210692896278</v>
      </c>
      <c r="D105" s="83">
        <v>-218.25387697978738</v>
      </c>
      <c r="E105" s="83">
        <v>-244.70889237127673</v>
      </c>
      <c r="F105" s="83">
        <v>-152.11633850106392</v>
      </c>
      <c r="G105" s="83">
        <v>-171.95760004468096</v>
      </c>
      <c r="H105" s="83">
        <v>-257.93640006702145</v>
      </c>
      <c r="I105" s="83">
        <v>-256.28296160505334</v>
      </c>
      <c r="J105" s="83">
        <v>-262.89671545292572</v>
      </c>
      <c r="K105" s="83">
        <v>-238.09513852340442</v>
      </c>
      <c r="L105" s="83">
        <v>-193.4523000502661</v>
      </c>
      <c r="M105" s="83">
        <v>-221.56075390372357</v>
      </c>
      <c r="N105" s="83">
        <v>-239.74857698537249</v>
      </c>
      <c r="O105" s="96">
        <v>-2683.5306237742038</v>
      </c>
    </row>
    <row r="106" spans="1:15" x14ac:dyDescent="0.25">
      <c r="A106" s="214"/>
      <c r="B106" s="94" t="s">
        <v>27</v>
      </c>
      <c r="C106" s="95">
        <v>-2990.2311882890999</v>
      </c>
      <c r="D106" s="83">
        <v>-2881.0986631690512</v>
      </c>
      <c r="E106" s="83">
        <v>-3230.3227435531776</v>
      </c>
      <c r="F106" s="83">
        <v>-2008.0384622087201</v>
      </c>
      <c r="G106" s="83">
        <v>-2269.9565224968078</v>
      </c>
      <c r="H106" s="83">
        <v>-3404.9347837452265</v>
      </c>
      <c r="I106" s="83">
        <v>-3383.1082787212458</v>
      </c>
      <c r="J106" s="83">
        <v>-3470.4142988172553</v>
      </c>
      <c r="K106" s="83">
        <v>-3143.0167234571386</v>
      </c>
      <c r="L106" s="83">
        <v>-2553.7010878089341</v>
      </c>
      <c r="M106" s="83">
        <v>-2924.7516732170416</v>
      </c>
      <c r="N106" s="83">
        <v>-3164.8432284811483</v>
      </c>
      <c r="O106" s="96">
        <v>-35424.417653964847</v>
      </c>
    </row>
    <row r="107" spans="1:15" x14ac:dyDescent="0.25">
      <c r="A107" s="214"/>
      <c r="B107" s="94" t="s">
        <v>51</v>
      </c>
      <c r="C107" s="95">
        <v>190593.61549771641</v>
      </c>
      <c r="D107" s="83">
        <v>183637.64412918661</v>
      </c>
      <c r="E107" s="83">
        <v>205896.75250848196</v>
      </c>
      <c r="F107" s="83">
        <v>127989.87318094824</v>
      </c>
      <c r="G107" s="83">
        <v>144684.20446541975</v>
      </c>
      <c r="H107" s="83">
        <v>217026.30669812963</v>
      </c>
      <c r="I107" s="83">
        <v>215635.11242442369</v>
      </c>
      <c r="J107" s="83">
        <v>221199.88951924752</v>
      </c>
      <c r="K107" s="83">
        <v>200331.97541365813</v>
      </c>
      <c r="L107" s="83">
        <v>162769.73002359722</v>
      </c>
      <c r="M107" s="83">
        <v>186420.03267659852</v>
      </c>
      <c r="N107" s="83">
        <v>201723.16968736408</v>
      </c>
      <c r="O107" s="96">
        <v>2257908.3062247718</v>
      </c>
    </row>
    <row r="108" spans="1:15" x14ac:dyDescent="0.25">
      <c r="A108" s="214"/>
      <c r="B108" s="94" t="s">
        <v>91</v>
      </c>
      <c r="C108" s="95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96">
        <v>0</v>
      </c>
    </row>
    <row r="109" spans="1:15" x14ac:dyDescent="0.25">
      <c r="A109" s="214"/>
      <c r="B109" s="94" t="s">
        <v>93</v>
      </c>
      <c r="C109" s="95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96">
        <v>0</v>
      </c>
    </row>
    <row r="110" spans="1:15" x14ac:dyDescent="0.25">
      <c r="A110" s="84" t="s">
        <v>87</v>
      </c>
      <c r="B110" s="84" t="s">
        <v>72</v>
      </c>
      <c r="C110" s="91">
        <v>60324.933114332453</v>
      </c>
      <c r="D110" s="92">
        <v>57582.890700044612</v>
      </c>
      <c r="E110" s="92">
        <v>50727.784664325016</v>
      </c>
      <c r="F110" s="92">
        <v>37017.572592885823</v>
      </c>
      <c r="G110" s="92">
        <v>57582.890700044612</v>
      </c>
      <c r="H110" s="92">
        <v>76777.187600059478</v>
      </c>
      <c r="I110" s="92">
        <v>74035.145185771646</v>
      </c>
      <c r="J110" s="92">
        <v>80890.251221491242</v>
      </c>
      <c r="K110" s="92">
        <v>74035.145185771646</v>
      </c>
      <c r="L110" s="92">
        <v>50727.784664325016</v>
      </c>
      <c r="M110" s="92">
        <v>52098.805871468932</v>
      </c>
      <c r="N110" s="92">
        <v>47985.742250037176</v>
      </c>
      <c r="O110" s="93">
        <v>719786.13375055778</v>
      </c>
    </row>
    <row r="111" spans="1:15" x14ac:dyDescent="0.25">
      <c r="A111" s="214"/>
      <c r="B111" s="94" t="s">
        <v>25</v>
      </c>
      <c r="C111" s="95">
        <v>-887.61492872975214</v>
      </c>
      <c r="D111" s="83">
        <v>-847.26879560567613</v>
      </c>
      <c r="E111" s="83">
        <v>-746.40346279547521</v>
      </c>
      <c r="F111" s="83">
        <v>-544.67279717507336</v>
      </c>
      <c r="G111" s="83">
        <v>-847.26879560567613</v>
      </c>
      <c r="H111" s="83">
        <v>-1129.69172747423</v>
      </c>
      <c r="I111" s="83">
        <v>-1089.3455943501467</v>
      </c>
      <c r="J111" s="83">
        <v>-1190.2109271603549</v>
      </c>
      <c r="K111" s="83">
        <v>-1089.3455943501467</v>
      </c>
      <c r="L111" s="83">
        <v>-746.40346279547521</v>
      </c>
      <c r="M111" s="83">
        <v>-766.57652935751685</v>
      </c>
      <c r="N111" s="83">
        <v>-706.05732967139193</v>
      </c>
      <c r="O111" s="96">
        <v>-10590.859945070915</v>
      </c>
    </row>
    <row r="112" spans="1:15" x14ac:dyDescent="0.25">
      <c r="A112" s="214"/>
      <c r="B112" s="94" t="s">
        <v>26</v>
      </c>
      <c r="C112" s="95">
        <v>-72.751292326595802</v>
      </c>
      <c r="D112" s="83">
        <v>-69.444415402659615</v>
      </c>
      <c r="E112" s="83">
        <v>-61.177223092819183</v>
      </c>
      <c r="F112" s="83">
        <v>-44.642838473138333</v>
      </c>
      <c r="G112" s="83">
        <v>-69.444415402659615</v>
      </c>
      <c r="H112" s="83">
        <v>-92.592553870212825</v>
      </c>
      <c r="I112" s="83">
        <v>-89.285676946276666</v>
      </c>
      <c r="J112" s="83">
        <v>-97.552869256117077</v>
      </c>
      <c r="K112" s="83">
        <v>-89.285676946276666</v>
      </c>
      <c r="L112" s="83">
        <v>-61.177223092819183</v>
      </c>
      <c r="M112" s="83">
        <v>-62.830661554787277</v>
      </c>
      <c r="N112" s="83">
        <v>-57.870346168883017</v>
      </c>
      <c r="O112" s="96">
        <v>-868.0551925332453</v>
      </c>
    </row>
    <row r="113" spans="1:15" x14ac:dyDescent="0.25">
      <c r="A113" s="214"/>
      <c r="B113" s="94" t="s">
        <v>27</v>
      </c>
      <c r="C113" s="95">
        <v>-960.36622105634797</v>
      </c>
      <c r="D113" s="83">
        <v>-916.71321100833575</v>
      </c>
      <c r="E113" s="83">
        <v>-807.5806858882944</v>
      </c>
      <c r="F113" s="83">
        <v>-589.3156356482117</v>
      </c>
      <c r="G113" s="83">
        <v>-916.71321100833575</v>
      </c>
      <c r="H113" s="83">
        <v>-1222.2842813444429</v>
      </c>
      <c r="I113" s="83">
        <v>-1178.6312712964234</v>
      </c>
      <c r="J113" s="83">
        <v>-1287.7637964164719</v>
      </c>
      <c r="K113" s="83">
        <v>-1178.6312712964234</v>
      </c>
      <c r="L113" s="83">
        <v>-807.5806858882944</v>
      </c>
      <c r="M113" s="83">
        <v>-829.40719091230415</v>
      </c>
      <c r="N113" s="83">
        <v>-763.9276758402749</v>
      </c>
      <c r="O113" s="96">
        <v>-11458.915137604163</v>
      </c>
    </row>
    <row r="114" spans="1:15" x14ac:dyDescent="0.25">
      <c r="A114" s="214"/>
      <c r="B114" s="94" t="s">
        <v>51</v>
      </c>
      <c r="C114" s="95">
        <v>61212.548043062205</v>
      </c>
      <c r="D114" s="83">
        <v>58430.159495650289</v>
      </c>
      <c r="E114" s="83">
        <v>51474.188127120491</v>
      </c>
      <c r="F114" s="83">
        <v>37562.245390060896</v>
      </c>
      <c r="G114" s="83">
        <v>58430.159495650289</v>
      </c>
      <c r="H114" s="83">
        <v>77906.879327533708</v>
      </c>
      <c r="I114" s="83">
        <v>75124.490780121792</v>
      </c>
      <c r="J114" s="83">
        <v>82080.462148651597</v>
      </c>
      <c r="K114" s="83">
        <v>75124.490780121792</v>
      </c>
      <c r="L114" s="83">
        <v>51474.188127120491</v>
      </c>
      <c r="M114" s="83">
        <v>52865.382400826449</v>
      </c>
      <c r="N114" s="83">
        <v>48691.799579708568</v>
      </c>
      <c r="O114" s="96">
        <v>730376.99369562848</v>
      </c>
    </row>
    <row r="115" spans="1:15" x14ac:dyDescent="0.25">
      <c r="A115" s="214"/>
      <c r="B115" s="94" t="s">
        <v>91</v>
      </c>
      <c r="C115" s="9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96">
        <v>0</v>
      </c>
    </row>
    <row r="116" spans="1:15" x14ac:dyDescent="0.25">
      <c r="A116" s="214"/>
      <c r="B116" s="94" t="s">
        <v>93</v>
      </c>
      <c r="C116" s="95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96">
        <v>0</v>
      </c>
    </row>
    <row r="117" spans="1:15" x14ac:dyDescent="0.25">
      <c r="A117" s="84" t="s">
        <v>73</v>
      </c>
      <c r="B117" s="85"/>
      <c r="C117" s="91">
        <v>10969540.678358499</v>
      </c>
      <c r="D117" s="92">
        <v>10874940.215065567</v>
      </c>
      <c r="E117" s="92">
        <v>9928935.5821362641</v>
      </c>
      <c r="F117" s="92">
        <v>8878733.3374640234</v>
      </c>
      <c r="G117" s="92">
        <v>11186162.029087236</v>
      </c>
      <c r="H117" s="92">
        <v>14250394.427053897</v>
      </c>
      <c r="I117" s="92">
        <v>14096840.05185378</v>
      </c>
      <c r="J117" s="92">
        <v>15110024.723933136</v>
      </c>
      <c r="K117" s="92">
        <v>13941914.655446516</v>
      </c>
      <c r="L117" s="92">
        <v>10958572.508701349</v>
      </c>
      <c r="M117" s="92">
        <v>9928935.5821362622</v>
      </c>
      <c r="N117" s="92">
        <v>9963211.1123148613</v>
      </c>
      <c r="O117" s="93">
        <v>140088204.9035514</v>
      </c>
    </row>
    <row r="118" spans="1:15" ht="13" x14ac:dyDescent="0.3">
      <c r="A118" s="84" t="s">
        <v>28</v>
      </c>
      <c r="B118" s="85"/>
      <c r="C118" s="255">
        <v>-161404.70556288116</v>
      </c>
      <c r="D118" s="256">
        <v>-160012.76397010073</v>
      </c>
      <c r="E118" s="256">
        <v>-146093.34804229223</v>
      </c>
      <c r="F118" s="256">
        <v>-130640.7790557697</v>
      </c>
      <c r="G118" s="256">
        <v>-164592.05007968325</v>
      </c>
      <c r="H118" s="256">
        <v>-209678.85384584172</v>
      </c>
      <c r="I118" s="256">
        <v>-207419.47039089428</v>
      </c>
      <c r="J118" s="256">
        <v>-222327.36658024043</v>
      </c>
      <c r="K118" s="256">
        <v>-205139.9138693834</v>
      </c>
      <c r="L118" s="256">
        <v>-161243.32103038448</v>
      </c>
      <c r="M118" s="256">
        <v>-146093.34804229205</v>
      </c>
      <c r="N118" s="256">
        <v>-146597.67470634315</v>
      </c>
      <c r="O118" s="257">
        <v>-2061243.5951761066</v>
      </c>
    </row>
    <row r="119" spans="1:15" ht="13" x14ac:dyDescent="0.3">
      <c r="A119" s="84" t="s">
        <v>29</v>
      </c>
      <c r="B119" s="85"/>
      <c r="C119" s="255">
        <v>-13229.161134206657</v>
      </c>
      <c r="D119" s="256">
        <v>-13115.07388033086</v>
      </c>
      <c r="E119" s="256">
        <v>-11974.20134157288</v>
      </c>
      <c r="F119" s="256">
        <v>-10707.667479705329</v>
      </c>
      <c r="G119" s="256">
        <v>-13490.404411197618</v>
      </c>
      <c r="H119" s="256">
        <v>-17185.83937369629</v>
      </c>
      <c r="I119" s="256">
        <v>-17000.654265955865</v>
      </c>
      <c r="J119" s="256">
        <v>-18222.545289350281</v>
      </c>
      <c r="K119" s="256">
        <v>-16813.815719753471</v>
      </c>
      <c r="L119" s="256">
        <v>-13215.933626510916</v>
      </c>
      <c r="M119" s="256">
        <v>-11974.201341572883</v>
      </c>
      <c r="N119" s="256">
        <v>-12015.537303122084</v>
      </c>
      <c r="O119" s="257">
        <v>-168945.03516697508</v>
      </c>
    </row>
    <row r="120" spans="1:15" ht="13" x14ac:dyDescent="0.3">
      <c r="A120" s="84" t="s">
        <v>30</v>
      </c>
      <c r="B120" s="85"/>
      <c r="C120" s="255">
        <v>-174633.86669708783</v>
      </c>
      <c r="D120" s="256">
        <v>-173127.83785043162</v>
      </c>
      <c r="E120" s="256">
        <v>-158067.54938386506</v>
      </c>
      <c r="F120" s="256">
        <v>-141348.44653547506</v>
      </c>
      <c r="G120" s="256">
        <v>-178082.45449088089</v>
      </c>
      <c r="H120" s="256">
        <v>-226864.69321953802</v>
      </c>
      <c r="I120" s="256">
        <v>-224420.12465685012</v>
      </c>
      <c r="J120" s="256">
        <v>-240549.91186959069</v>
      </c>
      <c r="K120" s="256">
        <v>-221953.72958913684</v>
      </c>
      <c r="L120" s="256">
        <v>-174459.25465689541</v>
      </c>
      <c r="M120" s="256">
        <v>-158067.54938386491</v>
      </c>
      <c r="N120" s="256">
        <v>-158613.21200946523</v>
      </c>
      <c r="O120" s="257">
        <v>-2230188.6303430819</v>
      </c>
    </row>
    <row r="121" spans="1:15" x14ac:dyDescent="0.25">
      <c r="A121" s="84" t="s">
        <v>63</v>
      </c>
      <c r="B121" s="85"/>
      <c r="C121" s="91">
        <v>11130945.383921381</v>
      </c>
      <c r="D121" s="92">
        <v>11034952.979035668</v>
      </c>
      <c r="E121" s="92">
        <v>10075028.930178558</v>
      </c>
      <c r="F121" s="92">
        <v>9009374.1165197939</v>
      </c>
      <c r="G121" s="92">
        <v>11350754.079166919</v>
      </c>
      <c r="H121" s="92">
        <v>14460073.280899737</v>
      </c>
      <c r="I121" s="92">
        <v>14304259.522244673</v>
      </c>
      <c r="J121" s="92">
        <v>15332352.090513378</v>
      </c>
      <c r="K121" s="92">
        <v>14147054.569315899</v>
      </c>
      <c r="L121" s="92">
        <v>11119815.829731731</v>
      </c>
      <c r="M121" s="92">
        <v>10075028.930178555</v>
      </c>
      <c r="N121" s="92">
        <v>10109808.787021207</v>
      </c>
      <c r="O121" s="93">
        <v>142149448.49872747</v>
      </c>
    </row>
    <row r="122" spans="1:15" x14ac:dyDescent="0.25">
      <c r="A122" s="84" t="s">
        <v>92</v>
      </c>
      <c r="B122" s="85"/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3">
        <v>0</v>
      </c>
    </row>
    <row r="123" spans="1:15" x14ac:dyDescent="0.25">
      <c r="A123" s="97" t="s">
        <v>94</v>
      </c>
      <c r="B123" s="215"/>
      <c r="C123" s="98">
        <v>0</v>
      </c>
      <c r="D123" s="99">
        <v>0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100">
        <v>0</v>
      </c>
    </row>
    <row r="125" spans="1:15" x14ac:dyDescent="0.25">
      <c r="L125" s="217"/>
      <c r="O125" s="217"/>
    </row>
    <row r="126" spans="1:15" x14ac:dyDescent="0.25">
      <c r="L126" s="83"/>
      <c r="O126" s="83"/>
    </row>
  </sheetData>
  <phoneticPr fontId="6" type="noConversion"/>
  <pageMargins left="0.5" right="0.5" top="1" bottom="1" header="0.5" footer="0.5"/>
  <pageSetup scale="80" fitToHeight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220"/>
  <sheetViews>
    <sheetView showGridLines="0" tabSelected="1" zoomScale="80" zoomScaleNormal="80" zoomScaleSheetLayoutView="100" workbookViewId="0">
      <selection activeCell="E19" sqref="E19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5" customWidth="1"/>
    <col min="5" max="5" width="24.26953125" style="1" customWidth="1"/>
    <col min="6" max="6" width="7.7265625" style="145" customWidth="1"/>
    <col min="7" max="7" width="8.81640625" style="145" customWidth="1"/>
    <col min="8" max="8" width="11.1796875" style="145" bestFit="1" customWidth="1"/>
    <col min="9" max="9" width="11.26953125" style="146" customWidth="1"/>
    <col min="10" max="10" width="15.81640625" style="145" bestFit="1" customWidth="1"/>
    <col min="11" max="11" width="17.1796875" style="147" bestFit="1" customWidth="1"/>
    <col min="12" max="12" width="14.7265625" style="145" customWidth="1"/>
    <col min="13" max="13" width="13.453125" style="111" bestFit="1" customWidth="1"/>
    <col min="14" max="17" width="13.453125" style="111" customWidth="1"/>
    <col min="18" max="18" width="15.54296875" style="213" customWidth="1"/>
    <col min="19" max="16384" width="8.7265625" style="1"/>
  </cols>
  <sheetData>
    <row r="1" spans="2:19" ht="21.5" x14ac:dyDescent="0.3">
      <c r="B1" s="10" t="s">
        <v>98</v>
      </c>
      <c r="C1" s="101"/>
      <c r="D1" s="102"/>
      <c r="E1" s="101"/>
      <c r="F1" s="103" t="s">
        <v>12</v>
      </c>
      <c r="G1" s="104"/>
      <c r="H1" s="105"/>
      <c r="I1" s="106"/>
      <c r="J1" s="233" t="str">
        <f>"True-Up ARR
(CY"&amp;R1&amp;")"</f>
        <v>True-Up ARR
(CY2023)</v>
      </c>
      <c r="K1" s="233" t="str">
        <f>"Projected ARR
(Jan'"&amp;RIGHT(R$1,2)&amp;" - Dec'"&amp;RIGHT(R$1,2)&amp;")"</f>
        <v>Projected ARR
(Jan'23 - Dec'23)</v>
      </c>
      <c r="L1" s="107" t="s">
        <v>47</v>
      </c>
      <c r="M1" s="108"/>
      <c r="N1" s="50"/>
      <c r="O1" s="50"/>
      <c r="P1" s="50"/>
      <c r="Q1" s="50"/>
      <c r="R1" s="109">
        <v>2023</v>
      </c>
      <c r="S1" s="2"/>
    </row>
    <row r="2" spans="2:19" ht="13" x14ac:dyDescent="0.3">
      <c r="B2" s="10" t="s">
        <v>54</v>
      </c>
      <c r="C2" s="101"/>
      <c r="D2" s="102"/>
      <c r="E2" s="101"/>
      <c r="F2" s="110">
        <v>9</v>
      </c>
      <c r="G2" s="260"/>
      <c r="H2" s="260"/>
      <c r="I2" s="112" t="s">
        <v>6</v>
      </c>
      <c r="J2" s="221">
        <v>140088204.9035514</v>
      </c>
      <c r="K2" s="221">
        <v>152237242.95873654</v>
      </c>
      <c r="L2" s="227"/>
      <c r="M2" s="114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CY2023 SPP Network Transmission Service</v>
      </c>
      <c r="C3" s="101"/>
      <c r="D3" s="102"/>
      <c r="E3" s="101"/>
      <c r="F3" s="110"/>
      <c r="G3" s="260"/>
      <c r="H3" s="260"/>
      <c r="I3" s="112" t="s">
        <v>10</v>
      </c>
      <c r="J3" s="222">
        <v>1371.0212071439194</v>
      </c>
      <c r="K3" s="222">
        <v>1391.1942737059592</v>
      </c>
      <c r="L3" s="134" t="str">
        <f>"Inv. Jan-Dec'"&amp;RIGHT(R1,2)</f>
        <v>Inv. Jan-Dec'23</v>
      </c>
      <c r="M3" s="114"/>
      <c r="N3" s="50"/>
      <c r="O3" s="50"/>
      <c r="P3" s="50"/>
      <c r="Q3" s="50"/>
      <c r="R3" s="1"/>
    </row>
    <row r="4" spans="2:19" ht="13" x14ac:dyDescent="0.3">
      <c r="B4" s="9"/>
      <c r="C4" s="101"/>
      <c r="D4" s="102"/>
      <c r="E4" s="101"/>
      <c r="F4" s="110"/>
      <c r="G4" s="111"/>
      <c r="H4" s="111"/>
      <c r="I4" s="49"/>
      <c r="J4" s="111"/>
      <c r="K4" s="115"/>
      <c r="L4" s="111"/>
      <c r="M4" s="116"/>
      <c r="R4" s="1"/>
    </row>
    <row r="5" spans="2:19" ht="13" x14ac:dyDescent="0.3">
      <c r="B5" s="9"/>
      <c r="C5" s="101"/>
      <c r="D5" s="102"/>
      <c r="E5" s="101"/>
      <c r="F5" s="110"/>
      <c r="G5" s="111"/>
      <c r="H5" s="111"/>
      <c r="I5" s="112"/>
      <c r="J5" s="111"/>
      <c r="K5" s="221">
        <v>0</v>
      </c>
      <c r="L5" s="113"/>
      <c r="M5" s="117"/>
      <c r="N5" s="118"/>
      <c r="O5" s="118"/>
      <c r="P5" s="118"/>
      <c r="Q5" s="118"/>
      <c r="R5" s="119"/>
    </row>
    <row r="6" spans="2:19" ht="13" x14ac:dyDescent="0.3">
      <c r="B6" s="10" t="s">
        <v>23</v>
      </c>
      <c r="D6" s="102"/>
      <c r="E6" s="101"/>
      <c r="F6" s="120"/>
      <c r="G6" s="121"/>
      <c r="H6" s="122"/>
      <c r="I6" s="123"/>
      <c r="J6" s="124"/>
      <c r="K6" s="222">
        <v>0</v>
      </c>
      <c r="L6" s="216"/>
      <c r="M6" s="117"/>
      <c r="N6" s="118"/>
      <c r="O6" s="118"/>
      <c r="P6" s="118"/>
      <c r="Q6" s="118"/>
      <c r="R6" s="1"/>
    </row>
    <row r="7" spans="2:19" ht="13" x14ac:dyDescent="0.3">
      <c r="B7" s="9" t="s">
        <v>79</v>
      </c>
      <c r="D7" s="102"/>
      <c r="E7" s="101"/>
      <c r="F7" s="110"/>
      <c r="G7" s="261"/>
      <c r="H7" s="260"/>
      <c r="I7" s="112"/>
      <c r="J7" s="125"/>
      <c r="K7" s="113"/>
      <c r="L7" s="113"/>
      <c r="M7" s="126"/>
      <c r="N7" s="127"/>
      <c r="O7" s="127"/>
      <c r="P7" s="127"/>
      <c r="Q7" s="127"/>
      <c r="R7" s="1"/>
    </row>
    <row r="8" spans="2:19" ht="13" x14ac:dyDescent="0.3">
      <c r="B8" s="10"/>
      <c r="C8" s="101"/>
      <c r="D8" s="102"/>
      <c r="E8" s="101"/>
      <c r="F8" s="110"/>
      <c r="G8" s="260"/>
      <c r="H8" s="260"/>
      <c r="I8" s="112"/>
      <c r="J8" s="128"/>
      <c r="K8" s="113"/>
      <c r="L8" s="129"/>
      <c r="M8" s="114"/>
      <c r="N8" s="50"/>
      <c r="O8" s="50"/>
      <c r="P8" s="50"/>
      <c r="Q8" s="50"/>
      <c r="R8" s="119"/>
    </row>
    <row r="9" spans="2:19" ht="13" x14ac:dyDescent="0.3">
      <c r="B9" s="130"/>
      <c r="C9" s="101"/>
      <c r="D9" s="102"/>
      <c r="E9" s="101"/>
      <c r="F9" s="110"/>
      <c r="G9" s="111"/>
      <c r="H9" s="111"/>
      <c r="I9" s="131"/>
      <c r="J9" s="132"/>
      <c r="K9" s="133"/>
      <c r="L9" s="134"/>
      <c r="M9" s="114"/>
      <c r="N9" s="50"/>
      <c r="O9" s="50"/>
      <c r="P9" s="50"/>
      <c r="Q9" s="50"/>
      <c r="R9" s="119"/>
    </row>
    <row r="10" spans="2:19" ht="13.5" thickBot="1" x14ac:dyDescent="0.35">
      <c r="B10" s="9"/>
      <c r="D10" s="1"/>
      <c r="E10" s="135"/>
      <c r="F10" s="136"/>
      <c r="G10" s="137"/>
      <c r="H10" s="138"/>
      <c r="I10" s="139"/>
      <c r="J10" s="140"/>
      <c r="K10" s="140"/>
      <c r="L10" s="141"/>
      <c r="M10" s="142"/>
      <c r="R10" s="143"/>
    </row>
    <row r="11" spans="2:19" ht="13" x14ac:dyDescent="0.3">
      <c r="B11" s="144" t="s">
        <v>84</v>
      </c>
      <c r="E11" s="135"/>
      <c r="L11" s="148"/>
      <c r="M11" s="1"/>
      <c r="N11" s="1"/>
      <c r="O11" s="1"/>
      <c r="P11" s="1"/>
      <c r="Q11" s="1"/>
      <c r="R11" s="119"/>
    </row>
    <row r="12" spans="2:19" x14ac:dyDescent="0.25">
      <c r="E12" s="135"/>
      <c r="L12" s="148"/>
      <c r="R12" s="149" t="s">
        <v>62</v>
      </c>
    </row>
    <row r="13" spans="2:19" ht="13" x14ac:dyDescent="0.3">
      <c r="E13" s="135"/>
      <c r="F13" s="150"/>
      <c r="G13" s="151"/>
      <c r="H13" s="151"/>
      <c r="I13" s="152" t="s">
        <v>60</v>
      </c>
      <c r="J13" s="153">
        <f t="shared" ref="J13:R13" si="0">SUM(J56:J211)</f>
        <v>36998378.295985818</v>
      </c>
      <c r="K13" s="153">
        <f t="shared" si="0"/>
        <v>37542768.67022901</v>
      </c>
      <c r="L13" s="154">
        <f t="shared" si="0"/>
        <v>-544390.37424320658</v>
      </c>
      <c r="M13" s="155">
        <f t="shared" si="0"/>
        <v>-44619.690334670733</v>
      </c>
      <c r="N13" s="153">
        <f t="shared" si="0"/>
        <v>-589010.06457787729</v>
      </c>
      <c r="O13" s="153">
        <f>SUM(O56:O211)</f>
        <v>0</v>
      </c>
      <c r="P13" s="153">
        <f t="shared" si="0"/>
        <v>0</v>
      </c>
      <c r="Q13" s="153">
        <v>0</v>
      </c>
      <c r="R13" s="154">
        <f t="shared" si="0"/>
        <v>-589010.06457787729</v>
      </c>
    </row>
    <row r="14" spans="2:19" ht="13" x14ac:dyDescent="0.3">
      <c r="E14" s="135"/>
      <c r="F14" s="156"/>
      <c r="G14" s="156"/>
      <c r="H14" s="156"/>
      <c r="I14" s="157" t="s">
        <v>61</v>
      </c>
      <c r="J14" s="153">
        <f>SUM(J20:J211)</f>
        <v>140088204.90355152</v>
      </c>
      <c r="K14" s="153">
        <f>SUM(K20:K211)</f>
        <v>142149448.49872735</v>
      </c>
      <c r="L14" s="154">
        <f>SUM(L20:L211)</f>
        <v>-2061243.59517611</v>
      </c>
      <c r="M14" s="223">
        <v>-168945.03516697511</v>
      </c>
      <c r="N14" s="153">
        <f>SUM(N20:N211)</f>
        <v>-2230188.6303430791</v>
      </c>
      <c r="O14" s="153">
        <f>SUM(O20:O211)</f>
        <v>0</v>
      </c>
      <c r="P14" s="153">
        <f>SUM(P20:P211)</f>
        <v>0</v>
      </c>
      <c r="Q14" s="153">
        <v>0</v>
      </c>
      <c r="R14" s="154">
        <f>SUM(R20:R211)</f>
        <v>-2230188.6303430791</v>
      </c>
    </row>
    <row r="15" spans="2:19" x14ac:dyDescent="0.25">
      <c r="B15" s="158" t="s">
        <v>86</v>
      </c>
      <c r="E15" s="135"/>
      <c r="J15" s="146"/>
      <c r="L15" s="148"/>
      <c r="M15" s="228"/>
      <c r="N15" s="159"/>
      <c r="O15" s="159"/>
      <c r="P15" s="159"/>
      <c r="Q15" s="159"/>
      <c r="R15" s="160" t="s">
        <v>20</v>
      </c>
    </row>
    <row r="16" spans="2:19" x14ac:dyDescent="0.25">
      <c r="B16" s="161" t="str">
        <f>"** Actual Trued-Up CY"&amp;R1&amp;" Charge reflects "&amp;R1&amp;" True-UP Rate x MW"</f>
        <v>** Actual Trued-Up CY2023 Charge reflects 2023 True-UP Rate x MW</v>
      </c>
      <c r="E16" s="135"/>
      <c r="F16" s="111"/>
      <c r="G16" s="5"/>
      <c r="J16" s="162"/>
      <c r="L16" s="163" t="s">
        <v>11</v>
      </c>
      <c r="M16" s="159"/>
      <c r="N16" s="159"/>
      <c r="O16" s="159"/>
      <c r="P16" s="159"/>
      <c r="Q16" s="159"/>
      <c r="R16" s="164"/>
    </row>
    <row r="17" spans="1:18" x14ac:dyDescent="0.25">
      <c r="B17" s="165" t="s">
        <v>64</v>
      </c>
      <c r="E17" s="135"/>
      <c r="I17" s="166"/>
      <c r="J17" s="167"/>
      <c r="K17" s="168"/>
      <c r="L17" s="168"/>
      <c r="M17" s="168"/>
      <c r="N17" s="168"/>
      <c r="O17" s="168"/>
      <c r="P17" s="168"/>
      <c r="Q17" s="168"/>
      <c r="R17" s="169"/>
    </row>
    <row r="18" spans="1:18" ht="3.65" customHeight="1" x14ac:dyDescent="0.25">
      <c r="I18" s="170"/>
      <c r="J18" s="167"/>
      <c r="K18" s="170"/>
      <c r="L18" s="170"/>
      <c r="M18" s="171"/>
      <c r="N18" s="171"/>
      <c r="O18" s="171"/>
      <c r="P18" s="171"/>
      <c r="Q18" s="171"/>
      <c r="R18" s="172"/>
    </row>
    <row r="19" spans="1:18" ht="38.25" customHeight="1" x14ac:dyDescent="0.25">
      <c r="B19" s="173" t="s">
        <v>55</v>
      </c>
      <c r="C19" s="229" t="s">
        <v>4</v>
      </c>
      <c r="D19" s="229" t="s">
        <v>5</v>
      </c>
      <c r="E19" s="230" t="s">
        <v>0</v>
      </c>
      <c r="F19" s="231" t="s">
        <v>12</v>
      </c>
      <c r="G19" s="232" t="s">
        <v>1</v>
      </c>
      <c r="H19" s="174" t="s">
        <v>50</v>
      </c>
      <c r="I19" s="174" t="s">
        <v>48</v>
      </c>
      <c r="J19" s="175" t="str">
        <f>"True-Up Charge"</f>
        <v>True-Up Charge</v>
      </c>
      <c r="K19" s="175" t="s">
        <v>49</v>
      </c>
      <c r="L19" s="176" t="s">
        <v>3</v>
      </c>
      <c r="M19" s="177" t="s">
        <v>7</v>
      </c>
      <c r="N19" s="178" t="s">
        <v>99</v>
      </c>
      <c r="O19" s="178" t="s">
        <v>88</v>
      </c>
      <c r="P19" s="178" t="s">
        <v>89</v>
      </c>
      <c r="Q19" s="178" t="s">
        <v>90</v>
      </c>
      <c r="R19" s="179" t="s">
        <v>2</v>
      </c>
    </row>
    <row r="20" spans="1:18" s="50" customFormat="1" ht="12.75" customHeight="1" x14ac:dyDescent="0.25">
      <c r="A20" s="111">
        <v>1</v>
      </c>
      <c r="B20" s="180">
        <f>DATE($R$1,A20,1)</f>
        <v>44927</v>
      </c>
      <c r="C20" s="224">
        <v>44960</v>
      </c>
      <c r="D20" s="224">
        <v>44981</v>
      </c>
      <c r="E20" s="181" t="s">
        <v>21</v>
      </c>
      <c r="F20" s="111">
        <v>9</v>
      </c>
      <c r="G20" s="182">
        <v>2810</v>
      </c>
      <c r="H20" s="183">
        <f>+$K$3</f>
        <v>1391.1942737059592</v>
      </c>
      <c r="I20" s="183">
        <f t="shared" ref="I20:I63" si="1">$J$3</f>
        <v>1371.0212071439194</v>
      </c>
      <c r="J20" s="184">
        <f t="shared" ref="J20:J108" si="2">+$G20*I20</f>
        <v>3852569.5920744133</v>
      </c>
      <c r="K20" s="185">
        <f>+$G20*H20</f>
        <v>3909255.9091137452</v>
      </c>
      <c r="L20" s="186">
        <f t="shared" ref="L20:L34" si="3">+J20-K20</f>
        <v>-56686.317039331887</v>
      </c>
      <c r="M20" s="187">
        <f>G20/$G$212*$M$14</f>
        <v>-4646.1620781303218</v>
      </c>
      <c r="N20" s="188">
        <f>SUM(L20:M20)</f>
        <v>-61332.479117462208</v>
      </c>
      <c r="O20" s="187">
        <f>+$P$3</f>
        <v>0</v>
      </c>
      <c r="P20" s="187">
        <f>+G20*O20</f>
        <v>0</v>
      </c>
      <c r="Q20" s="187">
        <v>0</v>
      </c>
      <c r="R20" s="188">
        <f>+N20-Q20</f>
        <v>-61332.479117462208</v>
      </c>
    </row>
    <row r="21" spans="1:18" x14ac:dyDescent="0.25">
      <c r="A21" s="145">
        <v>2</v>
      </c>
      <c r="B21" s="180">
        <f t="shared" ref="B21:B108" si="4">DATE($R$1,A21,1)</f>
        <v>44958</v>
      </c>
      <c r="C21" s="224">
        <v>44988</v>
      </c>
      <c r="D21" s="224">
        <v>45009</v>
      </c>
      <c r="E21" s="189" t="s">
        <v>21</v>
      </c>
      <c r="F21" s="145">
        <v>9</v>
      </c>
      <c r="G21" s="182">
        <v>2771</v>
      </c>
      <c r="H21" s="183">
        <f t="shared" ref="H21:H84" si="5">+$K$3</f>
        <v>1391.1942737059592</v>
      </c>
      <c r="I21" s="183">
        <f t="shared" si="1"/>
        <v>1371.0212071439194</v>
      </c>
      <c r="J21" s="184">
        <f t="shared" si="2"/>
        <v>3799099.7649958003</v>
      </c>
      <c r="K21" s="185">
        <f t="shared" ref="K21:K33" si="6">+$G21*H21</f>
        <v>3854999.3324392131</v>
      </c>
      <c r="L21" s="186">
        <f t="shared" si="3"/>
        <v>-55899.567443412729</v>
      </c>
      <c r="M21" s="187">
        <f t="shared" ref="M21:M84" si="7">G21/$G$212*$M$14</f>
        <v>-4581.6779781135665</v>
      </c>
      <c r="N21" s="188">
        <f t="shared" ref="N21:N84" si="8">SUM(L21:M21)</f>
        <v>-60481.245421526299</v>
      </c>
      <c r="O21" s="187">
        <f t="shared" ref="O21:O84" si="9">+$P$3</f>
        <v>0</v>
      </c>
      <c r="P21" s="187">
        <f t="shared" ref="P21:P84" si="10">+G21*O21</f>
        <v>0</v>
      </c>
      <c r="Q21" s="187">
        <v>0</v>
      </c>
      <c r="R21" s="188">
        <f t="shared" ref="R21:R84" si="11">+N21-Q21</f>
        <v>-60481.245421526299</v>
      </c>
    </row>
    <row r="22" spans="1:18" x14ac:dyDescent="0.25">
      <c r="A22" s="145">
        <v>3</v>
      </c>
      <c r="B22" s="180">
        <f t="shared" si="4"/>
        <v>44986</v>
      </c>
      <c r="C22" s="224">
        <v>45021</v>
      </c>
      <c r="D22" s="224">
        <v>45040</v>
      </c>
      <c r="E22" s="189" t="s">
        <v>21</v>
      </c>
      <c r="F22" s="145">
        <v>9</v>
      </c>
      <c r="G22" s="182">
        <v>2389</v>
      </c>
      <c r="H22" s="183">
        <f t="shared" si="5"/>
        <v>1391.1942737059592</v>
      </c>
      <c r="I22" s="183">
        <f t="shared" si="1"/>
        <v>1371.0212071439194</v>
      </c>
      <c r="J22" s="184">
        <f t="shared" si="2"/>
        <v>3275369.6638668235</v>
      </c>
      <c r="K22" s="185">
        <f t="shared" si="6"/>
        <v>3323563.1198835364</v>
      </c>
      <c r="L22" s="186">
        <f t="shared" si="3"/>
        <v>-48193.456016712822</v>
      </c>
      <c r="M22" s="187">
        <f t="shared" si="7"/>
        <v>-3950.064485641758</v>
      </c>
      <c r="N22" s="188">
        <f t="shared" si="8"/>
        <v>-52143.520502354579</v>
      </c>
      <c r="O22" s="187">
        <f t="shared" si="9"/>
        <v>0</v>
      </c>
      <c r="P22" s="187">
        <f t="shared" si="10"/>
        <v>0</v>
      </c>
      <c r="Q22" s="187">
        <v>0</v>
      </c>
      <c r="R22" s="188">
        <f t="shared" si="11"/>
        <v>-52143.520502354579</v>
      </c>
    </row>
    <row r="23" spans="1:18" x14ac:dyDescent="0.25">
      <c r="A23" s="111">
        <v>4</v>
      </c>
      <c r="B23" s="180">
        <f t="shared" si="4"/>
        <v>45017</v>
      </c>
      <c r="C23" s="224">
        <v>45049</v>
      </c>
      <c r="D23" s="224">
        <v>45070</v>
      </c>
      <c r="E23" s="189" t="s">
        <v>21</v>
      </c>
      <c r="F23" s="145">
        <v>9</v>
      </c>
      <c r="G23" s="182">
        <v>2392</v>
      </c>
      <c r="H23" s="183">
        <f t="shared" si="5"/>
        <v>1391.1942737059592</v>
      </c>
      <c r="I23" s="183">
        <f t="shared" si="1"/>
        <v>1371.0212071439194</v>
      </c>
      <c r="J23" s="184">
        <f t="shared" si="2"/>
        <v>3279482.7274882551</v>
      </c>
      <c r="K23" s="185">
        <f t="shared" si="6"/>
        <v>3327736.7027046545</v>
      </c>
      <c r="L23" s="186">
        <f t="shared" si="3"/>
        <v>-48253.975216399413</v>
      </c>
      <c r="M23" s="187">
        <f t="shared" si="7"/>
        <v>-3955.0248010276623</v>
      </c>
      <c r="N23" s="188">
        <f t="shared" si="8"/>
        <v>-52209.000017427075</v>
      </c>
      <c r="O23" s="187">
        <f t="shared" si="9"/>
        <v>0</v>
      </c>
      <c r="P23" s="187">
        <f t="shared" si="10"/>
        <v>0</v>
      </c>
      <c r="Q23" s="187">
        <v>0</v>
      </c>
      <c r="R23" s="188">
        <f t="shared" si="11"/>
        <v>-52209.000017427075</v>
      </c>
    </row>
    <row r="24" spans="1:18" ht="12" customHeight="1" x14ac:dyDescent="0.25">
      <c r="A24" s="145">
        <v>5</v>
      </c>
      <c r="B24" s="180">
        <f t="shared" si="4"/>
        <v>45047</v>
      </c>
      <c r="C24" s="224">
        <v>45082</v>
      </c>
      <c r="D24" s="224">
        <v>45103</v>
      </c>
      <c r="E24" s="52" t="s">
        <v>21</v>
      </c>
      <c r="F24" s="145">
        <v>9</v>
      </c>
      <c r="G24" s="182">
        <v>3231</v>
      </c>
      <c r="H24" s="183">
        <f t="shared" si="5"/>
        <v>1391.1942737059592</v>
      </c>
      <c r="I24" s="183">
        <f t="shared" si="1"/>
        <v>1371.0212071439194</v>
      </c>
      <c r="J24" s="184">
        <f t="shared" si="2"/>
        <v>4429769.5202820031</v>
      </c>
      <c r="K24" s="185">
        <f t="shared" si="6"/>
        <v>4494948.698343954</v>
      </c>
      <c r="L24" s="186">
        <f t="shared" si="3"/>
        <v>-65179.178061950952</v>
      </c>
      <c r="M24" s="187">
        <f t="shared" si="7"/>
        <v>-5342.259670618886</v>
      </c>
      <c r="N24" s="188">
        <f t="shared" si="8"/>
        <v>-70521.437732569844</v>
      </c>
      <c r="O24" s="187">
        <f t="shared" si="9"/>
        <v>0</v>
      </c>
      <c r="P24" s="187">
        <f t="shared" si="10"/>
        <v>0</v>
      </c>
      <c r="Q24" s="187">
        <v>0</v>
      </c>
      <c r="R24" s="188">
        <f t="shared" si="11"/>
        <v>-70521.437732569844</v>
      </c>
    </row>
    <row r="25" spans="1:18" x14ac:dyDescent="0.25">
      <c r="A25" s="145">
        <v>6</v>
      </c>
      <c r="B25" s="180">
        <f t="shared" si="4"/>
        <v>45078</v>
      </c>
      <c r="C25" s="224">
        <v>45112</v>
      </c>
      <c r="D25" s="224">
        <v>45131</v>
      </c>
      <c r="E25" s="52" t="s">
        <v>21</v>
      </c>
      <c r="F25" s="145">
        <v>9</v>
      </c>
      <c r="G25" s="182">
        <v>4100</v>
      </c>
      <c r="H25" s="183">
        <f t="shared" si="5"/>
        <v>1391.1942737059592</v>
      </c>
      <c r="I25" s="183">
        <f t="shared" si="1"/>
        <v>1371.0212071439194</v>
      </c>
      <c r="J25" s="184">
        <f t="shared" si="2"/>
        <v>5621186.9492900698</v>
      </c>
      <c r="K25" s="185">
        <f t="shared" si="6"/>
        <v>5703896.522194433</v>
      </c>
      <c r="L25" s="190">
        <f t="shared" si="3"/>
        <v>-82709.572904363275</v>
      </c>
      <c r="M25" s="187">
        <f t="shared" si="7"/>
        <v>-6779.0976940691535</v>
      </c>
      <c r="N25" s="188">
        <f t="shared" si="8"/>
        <v>-89488.670598432422</v>
      </c>
      <c r="O25" s="187">
        <f t="shared" si="9"/>
        <v>0</v>
      </c>
      <c r="P25" s="187">
        <f t="shared" si="10"/>
        <v>0</v>
      </c>
      <c r="Q25" s="187">
        <v>0</v>
      </c>
      <c r="R25" s="188">
        <f t="shared" si="11"/>
        <v>-89488.670598432422</v>
      </c>
    </row>
    <row r="26" spans="1:18" x14ac:dyDescent="0.25">
      <c r="A26" s="111">
        <v>7</v>
      </c>
      <c r="B26" s="180">
        <f t="shared" si="4"/>
        <v>45108</v>
      </c>
      <c r="C26" s="224">
        <v>45141</v>
      </c>
      <c r="D26" s="224">
        <v>45162</v>
      </c>
      <c r="E26" s="52" t="s">
        <v>21</v>
      </c>
      <c r="F26" s="145">
        <v>9</v>
      </c>
      <c r="G26" s="182">
        <v>3988</v>
      </c>
      <c r="H26" s="183">
        <f t="shared" si="5"/>
        <v>1391.1942737059592</v>
      </c>
      <c r="I26" s="183">
        <f t="shared" si="1"/>
        <v>1371.0212071439194</v>
      </c>
      <c r="J26" s="184">
        <f t="shared" si="2"/>
        <v>5467632.57408995</v>
      </c>
      <c r="K26" s="191">
        <f t="shared" si="6"/>
        <v>5548082.7635393655</v>
      </c>
      <c r="L26" s="190">
        <f t="shared" si="3"/>
        <v>-80450.189449415542</v>
      </c>
      <c r="M26" s="187">
        <f t="shared" si="7"/>
        <v>-6593.9125863287281</v>
      </c>
      <c r="N26" s="188">
        <f t="shared" si="8"/>
        <v>-87044.102035744276</v>
      </c>
      <c r="O26" s="187">
        <f t="shared" si="9"/>
        <v>0</v>
      </c>
      <c r="P26" s="187">
        <f t="shared" si="10"/>
        <v>0</v>
      </c>
      <c r="Q26" s="187">
        <v>0</v>
      </c>
      <c r="R26" s="188">
        <f t="shared" si="11"/>
        <v>-87044.102035744276</v>
      </c>
    </row>
    <row r="27" spans="1:18" x14ac:dyDescent="0.25">
      <c r="A27" s="145">
        <v>8</v>
      </c>
      <c r="B27" s="180">
        <f t="shared" si="4"/>
        <v>45139</v>
      </c>
      <c r="C27" s="224">
        <v>45174</v>
      </c>
      <c r="D27" s="224">
        <v>45194</v>
      </c>
      <c r="E27" s="52" t="s">
        <v>21</v>
      </c>
      <c r="F27" s="145">
        <v>9</v>
      </c>
      <c r="G27" s="182">
        <v>4265</v>
      </c>
      <c r="H27" s="183">
        <f t="shared" si="5"/>
        <v>1391.1942737059592</v>
      </c>
      <c r="I27" s="183">
        <f t="shared" si="1"/>
        <v>1371.0212071439194</v>
      </c>
      <c r="J27" s="184">
        <f t="shared" si="2"/>
        <v>5847405.4484688165</v>
      </c>
      <c r="K27" s="191">
        <f t="shared" si="6"/>
        <v>5933443.5773559157</v>
      </c>
      <c r="L27" s="190">
        <f t="shared" si="3"/>
        <v>-86038.128887099214</v>
      </c>
      <c r="M27" s="187">
        <f t="shared" si="7"/>
        <v>-7051.9150402938876</v>
      </c>
      <c r="N27" s="188">
        <f t="shared" si="8"/>
        <v>-93090.043927393097</v>
      </c>
      <c r="O27" s="187">
        <f t="shared" si="9"/>
        <v>0</v>
      </c>
      <c r="P27" s="187">
        <f t="shared" si="10"/>
        <v>0</v>
      </c>
      <c r="Q27" s="187">
        <v>0</v>
      </c>
      <c r="R27" s="188">
        <f t="shared" si="11"/>
        <v>-93090.043927393097</v>
      </c>
    </row>
    <row r="28" spans="1:18" x14ac:dyDescent="0.25">
      <c r="A28" s="145">
        <v>9</v>
      </c>
      <c r="B28" s="180">
        <f t="shared" si="4"/>
        <v>45170</v>
      </c>
      <c r="C28" s="224">
        <v>45203</v>
      </c>
      <c r="D28" s="224">
        <v>45223</v>
      </c>
      <c r="E28" s="52" t="s">
        <v>21</v>
      </c>
      <c r="F28" s="145">
        <v>9</v>
      </c>
      <c r="G28" s="182">
        <v>4016</v>
      </c>
      <c r="H28" s="183">
        <f t="shared" si="5"/>
        <v>1391.1942737059592</v>
      </c>
      <c r="I28" s="183">
        <f t="shared" si="1"/>
        <v>1371.0212071439194</v>
      </c>
      <c r="J28" s="184">
        <f t="shared" si="2"/>
        <v>5506021.1678899797</v>
      </c>
      <c r="K28" s="191">
        <f t="shared" si="6"/>
        <v>5587036.2032031324</v>
      </c>
      <c r="L28" s="190">
        <f t="shared" si="3"/>
        <v>-81015.035313152708</v>
      </c>
      <c r="M28" s="187">
        <f t="shared" si="7"/>
        <v>-6640.2088632638342</v>
      </c>
      <c r="N28" s="188">
        <f t="shared" si="8"/>
        <v>-87655.244176416541</v>
      </c>
      <c r="O28" s="187">
        <f t="shared" si="9"/>
        <v>0</v>
      </c>
      <c r="P28" s="187">
        <f t="shared" si="10"/>
        <v>0</v>
      </c>
      <c r="Q28" s="187">
        <v>0</v>
      </c>
      <c r="R28" s="188">
        <f t="shared" si="11"/>
        <v>-87655.244176416541</v>
      </c>
    </row>
    <row r="29" spans="1:18" x14ac:dyDescent="0.25">
      <c r="A29" s="111">
        <v>10</v>
      </c>
      <c r="B29" s="180">
        <f t="shared" si="4"/>
        <v>45200</v>
      </c>
      <c r="C29" s="224">
        <v>45233</v>
      </c>
      <c r="D29" s="224">
        <v>45254</v>
      </c>
      <c r="E29" s="52" t="s">
        <v>21</v>
      </c>
      <c r="F29" s="145">
        <v>9</v>
      </c>
      <c r="G29" s="182">
        <v>3105</v>
      </c>
      <c r="H29" s="183">
        <f t="shared" si="5"/>
        <v>1391.1942737059592</v>
      </c>
      <c r="I29" s="183">
        <f t="shared" si="1"/>
        <v>1371.0212071439194</v>
      </c>
      <c r="J29" s="184">
        <f t="shared" si="2"/>
        <v>4257020.8481818698</v>
      </c>
      <c r="K29" s="191">
        <f t="shared" si="6"/>
        <v>4319658.2198570035</v>
      </c>
      <c r="L29" s="190">
        <f t="shared" si="3"/>
        <v>-62637.371675133705</v>
      </c>
      <c r="M29" s="187">
        <f t="shared" si="7"/>
        <v>-5133.9264244109081</v>
      </c>
      <c r="N29" s="188">
        <f t="shared" si="8"/>
        <v>-67771.298099544612</v>
      </c>
      <c r="O29" s="187">
        <f t="shared" si="9"/>
        <v>0</v>
      </c>
      <c r="P29" s="187">
        <f t="shared" si="10"/>
        <v>0</v>
      </c>
      <c r="Q29" s="187">
        <v>0</v>
      </c>
      <c r="R29" s="188">
        <f t="shared" si="11"/>
        <v>-67771.298099544612</v>
      </c>
    </row>
    <row r="30" spans="1:18" x14ac:dyDescent="0.25">
      <c r="A30" s="145">
        <v>11</v>
      </c>
      <c r="B30" s="180">
        <f t="shared" si="4"/>
        <v>45231</v>
      </c>
      <c r="C30" s="224">
        <v>45266</v>
      </c>
      <c r="D30" s="224">
        <v>45285</v>
      </c>
      <c r="E30" s="52" t="s">
        <v>21</v>
      </c>
      <c r="F30" s="145">
        <v>9</v>
      </c>
      <c r="G30" s="182">
        <v>2513</v>
      </c>
      <c r="H30" s="183">
        <f t="shared" si="5"/>
        <v>1391.1942737059592</v>
      </c>
      <c r="I30" s="183">
        <f t="shared" si="1"/>
        <v>1371.0212071439194</v>
      </c>
      <c r="J30" s="184">
        <f t="shared" si="2"/>
        <v>3445376.2935526692</v>
      </c>
      <c r="K30" s="191">
        <f t="shared" si="6"/>
        <v>3496071.2098230752</v>
      </c>
      <c r="L30" s="190">
        <f t="shared" si="3"/>
        <v>-50694.916270405985</v>
      </c>
      <c r="M30" s="187">
        <f t="shared" si="7"/>
        <v>-4155.0908549258011</v>
      </c>
      <c r="N30" s="188">
        <f t="shared" si="8"/>
        <v>-54850.007125331787</v>
      </c>
      <c r="O30" s="187">
        <f t="shared" si="9"/>
        <v>0</v>
      </c>
      <c r="P30" s="187">
        <f t="shared" si="10"/>
        <v>0</v>
      </c>
      <c r="Q30" s="187">
        <v>0</v>
      </c>
      <c r="R30" s="188">
        <f t="shared" si="11"/>
        <v>-54850.007125331787</v>
      </c>
    </row>
    <row r="31" spans="1:18" x14ac:dyDescent="0.25">
      <c r="A31" s="145">
        <v>12</v>
      </c>
      <c r="B31" s="180">
        <f t="shared" si="4"/>
        <v>45261</v>
      </c>
      <c r="C31" s="225">
        <v>45294</v>
      </c>
      <c r="D31" s="226">
        <v>45315</v>
      </c>
      <c r="E31" s="52" t="s">
        <v>21</v>
      </c>
      <c r="F31" s="145">
        <v>9</v>
      </c>
      <c r="G31" s="182">
        <v>2474</v>
      </c>
      <c r="H31" s="192">
        <f t="shared" si="5"/>
        <v>1391.1942737059592</v>
      </c>
      <c r="I31" s="192">
        <f t="shared" si="1"/>
        <v>1371.0212071439194</v>
      </c>
      <c r="J31" s="193">
        <f t="shared" si="2"/>
        <v>3391906.4664740567</v>
      </c>
      <c r="K31" s="194">
        <f t="shared" si="6"/>
        <v>3441814.6331485431</v>
      </c>
      <c r="L31" s="195">
        <f t="shared" si="3"/>
        <v>-49908.166674486361</v>
      </c>
      <c r="M31" s="187">
        <f t="shared" si="7"/>
        <v>-4090.6067549090453</v>
      </c>
      <c r="N31" s="188">
        <f t="shared" si="8"/>
        <v>-53998.773429395405</v>
      </c>
      <c r="O31" s="187">
        <f t="shared" si="9"/>
        <v>0</v>
      </c>
      <c r="P31" s="187">
        <f t="shared" si="10"/>
        <v>0</v>
      </c>
      <c r="Q31" s="187">
        <v>0</v>
      </c>
      <c r="R31" s="188">
        <f t="shared" si="11"/>
        <v>-53998.773429395405</v>
      </c>
    </row>
    <row r="32" spans="1:18" x14ac:dyDescent="0.25">
      <c r="A32" s="111">
        <v>1</v>
      </c>
      <c r="B32" s="196">
        <f t="shared" si="4"/>
        <v>44927</v>
      </c>
      <c r="C32" s="197">
        <f t="shared" ref="C32:D43" si="12">+C20</f>
        <v>44960</v>
      </c>
      <c r="D32" s="197">
        <f t="shared" si="12"/>
        <v>44981</v>
      </c>
      <c r="E32" s="198" t="s">
        <v>22</v>
      </c>
      <c r="F32" s="199">
        <v>9</v>
      </c>
      <c r="G32" s="182">
        <v>2724</v>
      </c>
      <c r="H32" s="183">
        <f t="shared" si="5"/>
        <v>1391.1942737059592</v>
      </c>
      <c r="I32" s="183">
        <f t="shared" si="1"/>
        <v>1371.0212071439194</v>
      </c>
      <c r="J32" s="184">
        <f t="shared" si="2"/>
        <v>3734661.7682600361</v>
      </c>
      <c r="K32" s="185">
        <f t="shared" si="6"/>
        <v>3789613.2015750329</v>
      </c>
      <c r="L32" s="186">
        <f t="shared" si="3"/>
        <v>-54951.433314996772</v>
      </c>
      <c r="M32" s="187">
        <f t="shared" si="7"/>
        <v>-4503.9663704010673</v>
      </c>
      <c r="N32" s="188">
        <f t="shared" si="8"/>
        <v>-59455.399685397839</v>
      </c>
      <c r="O32" s="187">
        <f t="shared" si="9"/>
        <v>0</v>
      </c>
      <c r="P32" s="187">
        <f t="shared" si="10"/>
        <v>0</v>
      </c>
      <c r="Q32" s="187">
        <v>0</v>
      </c>
      <c r="R32" s="188">
        <f t="shared" si="11"/>
        <v>-59455.399685397839</v>
      </c>
    </row>
    <row r="33" spans="1:18" x14ac:dyDescent="0.25">
      <c r="A33" s="145">
        <v>2</v>
      </c>
      <c r="B33" s="180">
        <f t="shared" si="4"/>
        <v>44958</v>
      </c>
      <c r="C33" s="200">
        <f t="shared" si="12"/>
        <v>44988</v>
      </c>
      <c r="D33" s="200">
        <f t="shared" si="12"/>
        <v>45009</v>
      </c>
      <c r="E33" s="189" t="s">
        <v>22</v>
      </c>
      <c r="F33" s="145">
        <v>9</v>
      </c>
      <c r="G33" s="182">
        <v>2757</v>
      </c>
      <c r="H33" s="183">
        <f t="shared" si="5"/>
        <v>1391.1942737059592</v>
      </c>
      <c r="I33" s="183">
        <f t="shared" si="1"/>
        <v>1371.0212071439194</v>
      </c>
      <c r="J33" s="184">
        <f t="shared" si="2"/>
        <v>3779905.4680957855</v>
      </c>
      <c r="K33" s="185">
        <f t="shared" si="6"/>
        <v>3835522.6126073296</v>
      </c>
      <c r="L33" s="186">
        <f t="shared" si="3"/>
        <v>-55617.144511544146</v>
      </c>
      <c r="M33" s="187">
        <f t="shared" si="7"/>
        <v>-4558.5298396460139</v>
      </c>
      <c r="N33" s="188">
        <f t="shared" si="8"/>
        <v>-60175.674351190159</v>
      </c>
      <c r="O33" s="187">
        <f t="shared" si="9"/>
        <v>0</v>
      </c>
      <c r="P33" s="187">
        <f t="shared" si="10"/>
        <v>0</v>
      </c>
      <c r="Q33" s="187">
        <v>0</v>
      </c>
      <c r="R33" s="188">
        <f t="shared" si="11"/>
        <v>-60175.674351190159</v>
      </c>
    </row>
    <row r="34" spans="1:18" x14ac:dyDescent="0.25">
      <c r="A34" s="145">
        <v>3</v>
      </c>
      <c r="B34" s="180">
        <f t="shared" si="4"/>
        <v>44986</v>
      </c>
      <c r="C34" s="200">
        <f t="shared" si="12"/>
        <v>45021</v>
      </c>
      <c r="D34" s="200">
        <f t="shared" si="12"/>
        <v>45040</v>
      </c>
      <c r="E34" s="189" t="s">
        <v>22</v>
      </c>
      <c r="F34" s="145">
        <v>9</v>
      </c>
      <c r="G34" s="182">
        <v>2641</v>
      </c>
      <c r="H34" s="183">
        <f t="shared" si="5"/>
        <v>1391.1942737059592</v>
      </c>
      <c r="I34" s="183">
        <f t="shared" si="1"/>
        <v>1371.0212071439194</v>
      </c>
      <c r="J34" s="184">
        <f t="shared" si="2"/>
        <v>3620867.008067091</v>
      </c>
      <c r="K34" s="185">
        <f t="shared" ref="K34:K93" si="13">+$G34*H34</f>
        <v>3674144.0768574383</v>
      </c>
      <c r="L34" s="186">
        <f t="shared" si="3"/>
        <v>-53277.068790347315</v>
      </c>
      <c r="M34" s="187">
        <f t="shared" si="7"/>
        <v>-4366.7309780577152</v>
      </c>
      <c r="N34" s="188">
        <f t="shared" si="8"/>
        <v>-57643.799768405028</v>
      </c>
      <c r="O34" s="187">
        <f t="shared" si="9"/>
        <v>0</v>
      </c>
      <c r="P34" s="187">
        <f t="shared" si="10"/>
        <v>0</v>
      </c>
      <c r="Q34" s="187">
        <v>0</v>
      </c>
      <c r="R34" s="188">
        <f t="shared" si="11"/>
        <v>-57643.799768405028</v>
      </c>
    </row>
    <row r="35" spans="1:18" x14ac:dyDescent="0.25">
      <c r="A35" s="111">
        <v>4</v>
      </c>
      <c r="B35" s="180">
        <f t="shared" si="4"/>
        <v>45017</v>
      </c>
      <c r="C35" s="200">
        <f t="shared" si="12"/>
        <v>45049</v>
      </c>
      <c r="D35" s="200">
        <f t="shared" si="12"/>
        <v>45070</v>
      </c>
      <c r="E35" s="189" t="s">
        <v>22</v>
      </c>
      <c r="F35" s="145">
        <v>9</v>
      </c>
      <c r="G35" s="182">
        <v>2417</v>
      </c>
      <c r="H35" s="183">
        <f t="shared" si="5"/>
        <v>1391.1942737059592</v>
      </c>
      <c r="I35" s="183">
        <f t="shared" si="1"/>
        <v>1371.0212071439194</v>
      </c>
      <c r="J35" s="184">
        <f t="shared" si="2"/>
        <v>3313758.2576668533</v>
      </c>
      <c r="K35" s="185">
        <f t="shared" si="13"/>
        <v>3362516.5595473032</v>
      </c>
      <c r="L35" s="186">
        <f t="shared" ref="L35:L57" si="14">+J35-K35</f>
        <v>-48758.301880449988</v>
      </c>
      <c r="M35" s="187">
        <f t="shared" si="7"/>
        <v>-3996.3607625768641</v>
      </c>
      <c r="N35" s="188">
        <f t="shared" si="8"/>
        <v>-52754.662643026852</v>
      </c>
      <c r="O35" s="187">
        <f t="shared" si="9"/>
        <v>0</v>
      </c>
      <c r="P35" s="187">
        <f t="shared" si="10"/>
        <v>0</v>
      </c>
      <c r="Q35" s="187">
        <v>0</v>
      </c>
      <c r="R35" s="188">
        <f t="shared" si="11"/>
        <v>-52754.662643026852</v>
      </c>
    </row>
    <row r="36" spans="1:18" x14ac:dyDescent="0.25">
      <c r="A36" s="145">
        <v>5</v>
      </c>
      <c r="B36" s="180">
        <f t="shared" si="4"/>
        <v>45047</v>
      </c>
      <c r="C36" s="200">
        <f t="shared" si="12"/>
        <v>45082</v>
      </c>
      <c r="D36" s="200">
        <f t="shared" si="12"/>
        <v>45103</v>
      </c>
      <c r="E36" s="52" t="s">
        <v>22</v>
      </c>
      <c r="F36" s="145">
        <v>9</v>
      </c>
      <c r="G36" s="182">
        <v>2844</v>
      </c>
      <c r="H36" s="183">
        <f t="shared" si="5"/>
        <v>1391.1942737059592</v>
      </c>
      <c r="I36" s="183">
        <f t="shared" si="1"/>
        <v>1371.0212071439194</v>
      </c>
      <c r="J36" s="184">
        <f t="shared" si="2"/>
        <v>3899184.3131173067</v>
      </c>
      <c r="K36" s="185">
        <f t="shared" si="13"/>
        <v>3956556.514419748</v>
      </c>
      <c r="L36" s="186">
        <f t="shared" si="14"/>
        <v>-57372.201302441303</v>
      </c>
      <c r="M36" s="187">
        <f t="shared" si="7"/>
        <v>-4702.3789858372365</v>
      </c>
      <c r="N36" s="188">
        <f t="shared" si="8"/>
        <v>-62074.580288278536</v>
      </c>
      <c r="O36" s="187">
        <f t="shared" si="9"/>
        <v>0</v>
      </c>
      <c r="P36" s="187">
        <f t="shared" si="10"/>
        <v>0</v>
      </c>
      <c r="Q36" s="187">
        <v>0</v>
      </c>
      <c r="R36" s="188">
        <f t="shared" si="11"/>
        <v>-62074.580288278536</v>
      </c>
    </row>
    <row r="37" spans="1:18" x14ac:dyDescent="0.25">
      <c r="A37" s="145">
        <v>6</v>
      </c>
      <c r="B37" s="180">
        <f t="shared" si="4"/>
        <v>45078</v>
      </c>
      <c r="C37" s="200">
        <f t="shared" si="12"/>
        <v>45112</v>
      </c>
      <c r="D37" s="200">
        <f t="shared" si="12"/>
        <v>45131</v>
      </c>
      <c r="E37" s="52" t="s">
        <v>22</v>
      </c>
      <c r="F37" s="145">
        <v>9</v>
      </c>
      <c r="G37" s="182">
        <v>3500</v>
      </c>
      <c r="H37" s="183">
        <f t="shared" si="5"/>
        <v>1391.1942737059592</v>
      </c>
      <c r="I37" s="183">
        <f t="shared" si="1"/>
        <v>1371.0212071439194</v>
      </c>
      <c r="J37" s="184">
        <f t="shared" si="2"/>
        <v>4798574.2250037175</v>
      </c>
      <c r="K37" s="185">
        <f t="shared" si="13"/>
        <v>4869179.9579708567</v>
      </c>
      <c r="L37" s="190">
        <f t="shared" si="14"/>
        <v>-70605.732967139222</v>
      </c>
      <c r="M37" s="187">
        <f t="shared" si="7"/>
        <v>-5787.0346168883016</v>
      </c>
      <c r="N37" s="188">
        <f t="shared" si="8"/>
        <v>-76392.767584027519</v>
      </c>
      <c r="O37" s="187">
        <f t="shared" si="9"/>
        <v>0</v>
      </c>
      <c r="P37" s="187">
        <f t="shared" si="10"/>
        <v>0</v>
      </c>
      <c r="Q37" s="187">
        <v>0</v>
      </c>
      <c r="R37" s="188">
        <f t="shared" si="11"/>
        <v>-76392.767584027519</v>
      </c>
    </row>
    <row r="38" spans="1:18" x14ac:dyDescent="0.25">
      <c r="A38" s="111">
        <v>7</v>
      </c>
      <c r="B38" s="180">
        <f t="shared" si="4"/>
        <v>45108</v>
      </c>
      <c r="C38" s="200">
        <f t="shared" si="12"/>
        <v>45141</v>
      </c>
      <c r="D38" s="200">
        <f t="shared" si="12"/>
        <v>45162</v>
      </c>
      <c r="E38" s="52" t="s">
        <v>22</v>
      </c>
      <c r="F38" s="145">
        <v>9</v>
      </c>
      <c r="G38" s="182">
        <v>3569</v>
      </c>
      <c r="H38" s="183">
        <f t="shared" si="5"/>
        <v>1391.1942737059592</v>
      </c>
      <c r="I38" s="183">
        <f t="shared" si="1"/>
        <v>1371.0212071439194</v>
      </c>
      <c r="J38" s="184">
        <f t="shared" si="2"/>
        <v>4893174.6882966477</v>
      </c>
      <c r="K38" s="191">
        <f t="shared" si="13"/>
        <v>4965172.3628565678</v>
      </c>
      <c r="L38" s="190">
        <f t="shared" si="14"/>
        <v>-71997.674559920095</v>
      </c>
      <c r="M38" s="187">
        <f t="shared" si="7"/>
        <v>-5901.1218707641001</v>
      </c>
      <c r="N38" s="188">
        <f t="shared" si="8"/>
        <v>-77898.79643068419</v>
      </c>
      <c r="O38" s="187">
        <f t="shared" si="9"/>
        <v>0</v>
      </c>
      <c r="P38" s="187">
        <f t="shared" si="10"/>
        <v>0</v>
      </c>
      <c r="Q38" s="187">
        <v>0</v>
      </c>
      <c r="R38" s="188">
        <f t="shared" si="11"/>
        <v>-77898.79643068419</v>
      </c>
    </row>
    <row r="39" spans="1:18" x14ac:dyDescent="0.25">
      <c r="A39" s="145">
        <v>8</v>
      </c>
      <c r="B39" s="180">
        <f t="shared" si="4"/>
        <v>45139</v>
      </c>
      <c r="C39" s="200">
        <f t="shared" si="12"/>
        <v>45174</v>
      </c>
      <c r="D39" s="200">
        <f t="shared" si="12"/>
        <v>45194</v>
      </c>
      <c r="E39" s="52" t="s">
        <v>22</v>
      </c>
      <c r="F39" s="145">
        <v>9</v>
      </c>
      <c r="G39" s="182">
        <v>3766</v>
      </c>
      <c r="H39" s="183">
        <f t="shared" si="5"/>
        <v>1391.1942737059592</v>
      </c>
      <c r="I39" s="183">
        <f t="shared" si="1"/>
        <v>1371.0212071439194</v>
      </c>
      <c r="J39" s="184">
        <f t="shared" si="2"/>
        <v>5163265.8661040002</v>
      </c>
      <c r="K39" s="191">
        <f t="shared" si="13"/>
        <v>5239237.6347766425</v>
      </c>
      <c r="L39" s="190">
        <f t="shared" si="14"/>
        <v>-75971.768672642298</v>
      </c>
      <c r="M39" s="187">
        <f t="shared" si="7"/>
        <v>-6226.8492477718119</v>
      </c>
      <c r="N39" s="188">
        <f t="shared" si="8"/>
        <v>-82198.617920414108</v>
      </c>
      <c r="O39" s="187">
        <f t="shared" si="9"/>
        <v>0</v>
      </c>
      <c r="P39" s="187">
        <f t="shared" si="10"/>
        <v>0</v>
      </c>
      <c r="Q39" s="187">
        <v>0</v>
      </c>
      <c r="R39" s="188">
        <f t="shared" si="11"/>
        <v>-82198.617920414108</v>
      </c>
    </row>
    <row r="40" spans="1:18" x14ac:dyDescent="0.25">
      <c r="A40" s="145">
        <v>9</v>
      </c>
      <c r="B40" s="180">
        <f t="shared" si="4"/>
        <v>45170</v>
      </c>
      <c r="C40" s="200">
        <f t="shared" si="12"/>
        <v>45203</v>
      </c>
      <c r="D40" s="200">
        <f t="shared" si="12"/>
        <v>45223</v>
      </c>
      <c r="E40" s="52" t="s">
        <v>22</v>
      </c>
      <c r="F40" s="145">
        <v>9</v>
      </c>
      <c r="G40" s="182">
        <v>3456</v>
      </c>
      <c r="H40" s="183">
        <f t="shared" si="5"/>
        <v>1391.1942737059592</v>
      </c>
      <c r="I40" s="183">
        <f t="shared" si="1"/>
        <v>1371.0212071439194</v>
      </c>
      <c r="J40" s="184">
        <f t="shared" si="2"/>
        <v>4738249.2918893853</v>
      </c>
      <c r="K40" s="191">
        <f t="shared" si="13"/>
        <v>4807967.4099277947</v>
      </c>
      <c r="L40" s="190">
        <f t="shared" si="14"/>
        <v>-69718.11803840939</v>
      </c>
      <c r="M40" s="187">
        <f t="shared" si="7"/>
        <v>-5714.2833245617066</v>
      </c>
      <c r="N40" s="188">
        <f t="shared" si="8"/>
        <v>-75432.401362971097</v>
      </c>
      <c r="O40" s="187">
        <f t="shared" si="9"/>
        <v>0</v>
      </c>
      <c r="P40" s="187">
        <f t="shared" si="10"/>
        <v>0</v>
      </c>
      <c r="Q40" s="187">
        <v>0</v>
      </c>
      <c r="R40" s="188">
        <f t="shared" si="11"/>
        <v>-75432.401362971097</v>
      </c>
    </row>
    <row r="41" spans="1:18" x14ac:dyDescent="0.25">
      <c r="A41" s="111">
        <v>10</v>
      </c>
      <c r="B41" s="180">
        <f t="shared" si="4"/>
        <v>45200</v>
      </c>
      <c r="C41" s="200">
        <f t="shared" si="12"/>
        <v>45233</v>
      </c>
      <c r="D41" s="200">
        <f t="shared" si="12"/>
        <v>45254</v>
      </c>
      <c r="E41" s="52" t="s">
        <v>22</v>
      </c>
      <c r="F41" s="145">
        <v>9</v>
      </c>
      <c r="G41" s="182">
        <v>2810</v>
      </c>
      <c r="H41" s="183">
        <f t="shared" si="5"/>
        <v>1391.1942737059592</v>
      </c>
      <c r="I41" s="183">
        <f t="shared" si="1"/>
        <v>1371.0212071439194</v>
      </c>
      <c r="J41" s="184">
        <f t="shared" si="2"/>
        <v>3852569.5920744133</v>
      </c>
      <c r="K41" s="191">
        <f t="shared" si="13"/>
        <v>3909255.9091137452</v>
      </c>
      <c r="L41" s="190">
        <f t="shared" si="14"/>
        <v>-56686.317039331887</v>
      </c>
      <c r="M41" s="187">
        <f t="shared" si="7"/>
        <v>-4646.1620781303218</v>
      </c>
      <c r="N41" s="188">
        <f t="shared" si="8"/>
        <v>-61332.479117462208</v>
      </c>
      <c r="O41" s="187">
        <f t="shared" si="9"/>
        <v>0</v>
      </c>
      <c r="P41" s="187">
        <f t="shared" si="10"/>
        <v>0</v>
      </c>
      <c r="Q41" s="187">
        <v>0</v>
      </c>
      <c r="R41" s="188">
        <f t="shared" si="11"/>
        <v>-61332.479117462208</v>
      </c>
    </row>
    <row r="42" spans="1:18" x14ac:dyDescent="0.25">
      <c r="A42" s="145">
        <v>11</v>
      </c>
      <c r="B42" s="180">
        <f t="shared" si="4"/>
        <v>45231</v>
      </c>
      <c r="C42" s="200">
        <f t="shared" si="12"/>
        <v>45266</v>
      </c>
      <c r="D42" s="200">
        <f t="shared" si="12"/>
        <v>45285</v>
      </c>
      <c r="E42" s="52" t="s">
        <v>22</v>
      </c>
      <c r="F42" s="145">
        <v>9</v>
      </c>
      <c r="G42" s="182">
        <v>2499</v>
      </c>
      <c r="H42" s="183">
        <f t="shared" si="5"/>
        <v>1391.1942737059592</v>
      </c>
      <c r="I42" s="183">
        <f t="shared" si="1"/>
        <v>1371.0212071439194</v>
      </c>
      <c r="J42" s="184">
        <f t="shared" si="2"/>
        <v>3426181.9966526544</v>
      </c>
      <c r="K42" s="191">
        <f t="shared" si="13"/>
        <v>3476594.4899911918</v>
      </c>
      <c r="L42" s="190">
        <f t="shared" si="14"/>
        <v>-50412.493338537402</v>
      </c>
      <c r="M42" s="187">
        <f t="shared" si="7"/>
        <v>-4131.9427164582476</v>
      </c>
      <c r="N42" s="188">
        <f t="shared" si="8"/>
        <v>-54544.436054995647</v>
      </c>
      <c r="O42" s="187">
        <f t="shared" si="9"/>
        <v>0</v>
      </c>
      <c r="P42" s="187">
        <f t="shared" si="10"/>
        <v>0</v>
      </c>
      <c r="Q42" s="187">
        <v>0</v>
      </c>
      <c r="R42" s="188">
        <f t="shared" si="11"/>
        <v>-54544.436054995647</v>
      </c>
    </row>
    <row r="43" spans="1:18" x14ac:dyDescent="0.25">
      <c r="A43" s="145">
        <v>12</v>
      </c>
      <c r="B43" s="180">
        <f t="shared" si="4"/>
        <v>45261</v>
      </c>
      <c r="C43" s="200">
        <f t="shared" si="12"/>
        <v>45294</v>
      </c>
      <c r="D43" s="200">
        <f t="shared" si="12"/>
        <v>45315</v>
      </c>
      <c r="E43" s="52" t="s">
        <v>22</v>
      </c>
      <c r="F43" s="145">
        <v>9</v>
      </c>
      <c r="G43" s="182">
        <v>2532</v>
      </c>
      <c r="H43" s="192">
        <f t="shared" si="5"/>
        <v>1391.1942737059592</v>
      </c>
      <c r="I43" s="192">
        <f t="shared" si="1"/>
        <v>1371.0212071439194</v>
      </c>
      <c r="J43" s="193">
        <f t="shared" si="2"/>
        <v>3471425.6964884037</v>
      </c>
      <c r="K43" s="194">
        <f t="shared" si="13"/>
        <v>3522503.9010234885</v>
      </c>
      <c r="L43" s="195">
        <f t="shared" si="14"/>
        <v>-51078.204535084777</v>
      </c>
      <c r="M43" s="187">
        <f t="shared" si="7"/>
        <v>-4186.5061857031942</v>
      </c>
      <c r="N43" s="188">
        <f t="shared" si="8"/>
        <v>-55264.710720787974</v>
      </c>
      <c r="O43" s="187">
        <f t="shared" si="9"/>
        <v>0</v>
      </c>
      <c r="P43" s="187">
        <f t="shared" si="10"/>
        <v>0</v>
      </c>
      <c r="Q43" s="187">
        <v>0</v>
      </c>
      <c r="R43" s="188">
        <f t="shared" si="11"/>
        <v>-55264.710720787974</v>
      </c>
    </row>
    <row r="44" spans="1:18" x14ac:dyDescent="0.25">
      <c r="A44" s="111">
        <v>1</v>
      </c>
      <c r="B44" s="196">
        <f t="shared" ref="B44:B55" si="15">DATE($R$1,A44,1)</f>
        <v>44927</v>
      </c>
      <c r="C44" s="197">
        <f t="shared" ref="C44:D55" si="16">+C32</f>
        <v>44960</v>
      </c>
      <c r="D44" s="197">
        <f t="shared" si="16"/>
        <v>44981</v>
      </c>
      <c r="E44" s="198" t="s">
        <v>83</v>
      </c>
      <c r="F44" s="199">
        <v>9</v>
      </c>
      <c r="G44" s="182">
        <v>137</v>
      </c>
      <c r="H44" s="183">
        <f t="shared" si="5"/>
        <v>1391.1942737059592</v>
      </c>
      <c r="I44" s="183">
        <f t="shared" si="1"/>
        <v>1371.0212071439194</v>
      </c>
      <c r="J44" s="187">
        <f t="shared" ref="J44:J55" si="17">+$G44*I44</f>
        <v>187829.90537871694</v>
      </c>
      <c r="K44" s="191">
        <f t="shared" ref="K44:K55" si="18">+$G44*H44</f>
        <v>190593.61549771641</v>
      </c>
      <c r="L44" s="190">
        <f t="shared" ref="L44:L55" si="19">+J44-K44</f>
        <v>-2763.7101189994719</v>
      </c>
      <c r="M44" s="187">
        <f t="shared" si="7"/>
        <v>-226.5210692896278</v>
      </c>
      <c r="N44" s="188">
        <f t="shared" si="8"/>
        <v>-2990.2311882890999</v>
      </c>
      <c r="O44" s="187">
        <f t="shared" si="9"/>
        <v>0</v>
      </c>
      <c r="P44" s="187">
        <f t="shared" si="10"/>
        <v>0</v>
      </c>
      <c r="Q44" s="187">
        <v>0</v>
      </c>
      <c r="R44" s="188">
        <f t="shared" si="11"/>
        <v>-2990.2311882890999</v>
      </c>
    </row>
    <row r="45" spans="1:18" x14ac:dyDescent="0.25">
      <c r="A45" s="145">
        <v>2</v>
      </c>
      <c r="B45" s="180">
        <f t="shared" si="15"/>
        <v>44958</v>
      </c>
      <c r="C45" s="200">
        <f t="shared" si="16"/>
        <v>44988</v>
      </c>
      <c r="D45" s="200">
        <f t="shared" si="16"/>
        <v>45009</v>
      </c>
      <c r="E45" s="189" t="s">
        <v>83</v>
      </c>
      <c r="F45" s="145">
        <v>9</v>
      </c>
      <c r="G45" s="182">
        <v>132</v>
      </c>
      <c r="H45" s="183">
        <f t="shared" si="5"/>
        <v>1391.1942737059592</v>
      </c>
      <c r="I45" s="183">
        <f t="shared" si="1"/>
        <v>1371.0212071439194</v>
      </c>
      <c r="J45" s="187">
        <f t="shared" si="17"/>
        <v>180974.79934299734</v>
      </c>
      <c r="K45" s="191">
        <f t="shared" si="18"/>
        <v>183637.64412918661</v>
      </c>
      <c r="L45" s="190">
        <f t="shared" si="19"/>
        <v>-2662.8447861892637</v>
      </c>
      <c r="M45" s="187">
        <f t="shared" si="7"/>
        <v>-218.25387697978738</v>
      </c>
      <c r="N45" s="188">
        <f t="shared" si="8"/>
        <v>-2881.0986631690512</v>
      </c>
      <c r="O45" s="187">
        <f t="shared" si="9"/>
        <v>0</v>
      </c>
      <c r="P45" s="187">
        <f t="shared" si="10"/>
        <v>0</v>
      </c>
      <c r="Q45" s="187">
        <v>0</v>
      </c>
      <c r="R45" s="188">
        <f t="shared" si="11"/>
        <v>-2881.0986631690512</v>
      </c>
    </row>
    <row r="46" spans="1:18" x14ac:dyDescent="0.25">
      <c r="A46" s="145">
        <v>3</v>
      </c>
      <c r="B46" s="180">
        <f t="shared" si="15"/>
        <v>44986</v>
      </c>
      <c r="C46" s="200">
        <f t="shared" si="16"/>
        <v>45021</v>
      </c>
      <c r="D46" s="200">
        <f t="shared" si="16"/>
        <v>45040</v>
      </c>
      <c r="E46" s="189" t="s">
        <v>83</v>
      </c>
      <c r="F46" s="145">
        <v>9</v>
      </c>
      <c r="G46" s="182">
        <v>148</v>
      </c>
      <c r="H46" s="183">
        <f t="shared" si="5"/>
        <v>1391.1942737059592</v>
      </c>
      <c r="I46" s="183">
        <f t="shared" si="1"/>
        <v>1371.0212071439194</v>
      </c>
      <c r="J46" s="187">
        <f t="shared" si="17"/>
        <v>202911.13865730006</v>
      </c>
      <c r="K46" s="191">
        <f t="shared" si="18"/>
        <v>205896.75250848196</v>
      </c>
      <c r="L46" s="190">
        <f t="shared" si="19"/>
        <v>-2985.6138511819008</v>
      </c>
      <c r="M46" s="187">
        <f t="shared" si="7"/>
        <v>-244.70889237127673</v>
      </c>
      <c r="N46" s="188">
        <f t="shared" si="8"/>
        <v>-3230.3227435531776</v>
      </c>
      <c r="O46" s="187">
        <f t="shared" si="9"/>
        <v>0</v>
      </c>
      <c r="P46" s="187">
        <f t="shared" si="10"/>
        <v>0</v>
      </c>
      <c r="Q46" s="187">
        <v>0</v>
      </c>
      <c r="R46" s="188">
        <f t="shared" si="11"/>
        <v>-3230.3227435531776</v>
      </c>
    </row>
    <row r="47" spans="1:18" x14ac:dyDescent="0.25">
      <c r="A47" s="111">
        <v>4</v>
      </c>
      <c r="B47" s="180">
        <f t="shared" si="15"/>
        <v>45017</v>
      </c>
      <c r="C47" s="200">
        <f t="shared" si="16"/>
        <v>45049</v>
      </c>
      <c r="D47" s="200">
        <f t="shared" si="16"/>
        <v>45070</v>
      </c>
      <c r="E47" s="189" t="s">
        <v>83</v>
      </c>
      <c r="F47" s="145">
        <v>9</v>
      </c>
      <c r="G47" s="182">
        <v>92</v>
      </c>
      <c r="H47" s="183">
        <f t="shared" si="5"/>
        <v>1391.1942737059592</v>
      </c>
      <c r="I47" s="183">
        <f t="shared" si="1"/>
        <v>1371.0212071439194</v>
      </c>
      <c r="J47" s="187">
        <f t="shared" si="17"/>
        <v>126133.95105724059</v>
      </c>
      <c r="K47" s="191">
        <f t="shared" si="18"/>
        <v>127989.87318094824</v>
      </c>
      <c r="L47" s="190">
        <f t="shared" si="19"/>
        <v>-1855.9221237076563</v>
      </c>
      <c r="M47" s="187">
        <f t="shared" si="7"/>
        <v>-152.11633850106392</v>
      </c>
      <c r="N47" s="188">
        <f t="shared" si="8"/>
        <v>-2008.0384622087201</v>
      </c>
      <c r="O47" s="187">
        <f t="shared" si="9"/>
        <v>0</v>
      </c>
      <c r="P47" s="187">
        <f t="shared" si="10"/>
        <v>0</v>
      </c>
      <c r="Q47" s="187">
        <v>0</v>
      </c>
      <c r="R47" s="188">
        <f t="shared" si="11"/>
        <v>-2008.0384622087201</v>
      </c>
    </row>
    <row r="48" spans="1:18" x14ac:dyDescent="0.25">
      <c r="A48" s="145">
        <v>5</v>
      </c>
      <c r="B48" s="180">
        <f t="shared" si="15"/>
        <v>45047</v>
      </c>
      <c r="C48" s="200">
        <f t="shared" si="16"/>
        <v>45082</v>
      </c>
      <c r="D48" s="200">
        <f t="shared" si="16"/>
        <v>45103</v>
      </c>
      <c r="E48" s="189" t="s">
        <v>83</v>
      </c>
      <c r="F48" s="145">
        <v>9</v>
      </c>
      <c r="G48" s="182">
        <v>104</v>
      </c>
      <c r="H48" s="183">
        <f t="shared" si="5"/>
        <v>1391.1942737059592</v>
      </c>
      <c r="I48" s="183">
        <f t="shared" si="1"/>
        <v>1371.0212071439194</v>
      </c>
      <c r="J48" s="187">
        <f t="shared" si="17"/>
        <v>142586.20554296763</v>
      </c>
      <c r="K48" s="191">
        <f t="shared" si="18"/>
        <v>144684.20446541975</v>
      </c>
      <c r="L48" s="190">
        <f t="shared" si="19"/>
        <v>-2097.9989224521269</v>
      </c>
      <c r="M48" s="187">
        <f t="shared" si="7"/>
        <v>-171.95760004468096</v>
      </c>
      <c r="N48" s="188">
        <f t="shared" si="8"/>
        <v>-2269.9565224968078</v>
      </c>
      <c r="O48" s="187">
        <f t="shared" si="9"/>
        <v>0</v>
      </c>
      <c r="P48" s="187">
        <f t="shared" si="10"/>
        <v>0</v>
      </c>
      <c r="Q48" s="187">
        <v>0</v>
      </c>
      <c r="R48" s="188">
        <f t="shared" si="11"/>
        <v>-2269.9565224968078</v>
      </c>
    </row>
    <row r="49" spans="1:18" x14ac:dyDescent="0.25">
      <c r="A49" s="145">
        <v>6</v>
      </c>
      <c r="B49" s="180">
        <f t="shared" si="15"/>
        <v>45078</v>
      </c>
      <c r="C49" s="200">
        <f t="shared" si="16"/>
        <v>45112</v>
      </c>
      <c r="D49" s="200">
        <f t="shared" si="16"/>
        <v>45131</v>
      </c>
      <c r="E49" s="189" t="s">
        <v>83</v>
      </c>
      <c r="F49" s="145">
        <v>9</v>
      </c>
      <c r="G49" s="182">
        <v>156</v>
      </c>
      <c r="H49" s="183">
        <f t="shared" si="5"/>
        <v>1391.1942737059592</v>
      </c>
      <c r="I49" s="183">
        <f t="shared" si="1"/>
        <v>1371.0212071439194</v>
      </c>
      <c r="J49" s="187">
        <f t="shared" si="17"/>
        <v>213879.30831445142</v>
      </c>
      <c r="K49" s="191">
        <f t="shared" si="18"/>
        <v>217026.30669812963</v>
      </c>
      <c r="L49" s="190">
        <f t="shared" si="19"/>
        <v>-3146.9983836782048</v>
      </c>
      <c r="M49" s="187">
        <f t="shared" si="7"/>
        <v>-257.93640006702145</v>
      </c>
      <c r="N49" s="188">
        <f t="shared" si="8"/>
        <v>-3404.9347837452265</v>
      </c>
      <c r="O49" s="187">
        <f t="shared" si="9"/>
        <v>0</v>
      </c>
      <c r="P49" s="187">
        <f t="shared" si="10"/>
        <v>0</v>
      </c>
      <c r="Q49" s="187">
        <v>0</v>
      </c>
      <c r="R49" s="188">
        <f t="shared" si="11"/>
        <v>-3404.9347837452265</v>
      </c>
    </row>
    <row r="50" spans="1:18" x14ac:dyDescent="0.25">
      <c r="A50" s="111">
        <v>7</v>
      </c>
      <c r="B50" s="180">
        <f t="shared" si="15"/>
        <v>45108</v>
      </c>
      <c r="C50" s="200">
        <f t="shared" si="16"/>
        <v>45141</v>
      </c>
      <c r="D50" s="200">
        <f t="shared" si="16"/>
        <v>45162</v>
      </c>
      <c r="E50" s="189" t="s">
        <v>83</v>
      </c>
      <c r="F50" s="145">
        <v>9</v>
      </c>
      <c r="G50" s="182">
        <v>155</v>
      </c>
      <c r="H50" s="183">
        <f t="shared" si="5"/>
        <v>1391.1942737059592</v>
      </c>
      <c r="I50" s="183">
        <f t="shared" si="1"/>
        <v>1371.0212071439194</v>
      </c>
      <c r="J50" s="187">
        <f t="shared" si="17"/>
        <v>212508.28710730749</v>
      </c>
      <c r="K50" s="191">
        <f t="shared" si="18"/>
        <v>215635.11242442369</v>
      </c>
      <c r="L50" s="190">
        <f t="shared" si="19"/>
        <v>-3126.8253171161923</v>
      </c>
      <c r="M50" s="187">
        <f t="shared" si="7"/>
        <v>-256.28296160505334</v>
      </c>
      <c r="N50" s="188">
        <f t="shared" si="8"/>
        <v>-3383.1082787212458</v>
      </c>
      <c r="O50" s="187">
        <f t="shared" si="9"/>
        <v>0</v>
      </c>
      <c r="P50" s="187">
        <f t="shared" si="10"/>
        <v>0</v>
      </c>
      <c r="Q50" s="187">
        <v>0</v>
      </c>
      <c r="R50" s="188">
        <f t="shared" si="11"/>
        <v>-3383.1082787212458</v>
      </c>
    </row>
    <row r="51" spans="1:18" x14ac:dyDescent="0.25">
      <c r="A51" s="145">
        <v>8</v>
      </c>
      <c r="B51" s="180">
        <f t="shared" si="15"/>
        <v>45139</v>
      </c>
      <c r="C51" s="200">
        <f t="shared" si="16"/>
        <v>45174</v>
      </c>
      <c r="D51" s="200">
        <f t="shared" si="16"/>
        <v>45194</v>
      </c>
      <c r="E51" s="189" t="s">
        <v>83</v>
      </c>
      <c r="F51" s="145">
        <v>9</v>
      </c>
      <c r="G51" s="182">
        <v>159</v>
      </c>
      <c r="H51" s="183">
        <f t="shared" si="5"/>
        <v>1391.1942737059592</v>
      </c>
      <c r="I51" s="183">
        <f t="shared" si="1"/>
        <v>1371.0212071439194</v>
      </c>
      <c r="J51" s="187">
        <f t="shared" si="17"/>
        <v>217992.37193588319</v>
      </c>
      <c r="K51" s="191">
        <f t="shared" si="18"/>
        <v>221199.88951924752</v>
      </c>
      <c r="L51" s="190">
        <f t="shared" si="19"/>
        <v>-3207.5175833643298</v>
      </c>
      <c r="M51" s="187">
        <f t="shared" si="7"/>
        <v>-262.89671545292572</v>
      </c>
      <c r="N51" s="188">
        <f t="shared" si="8"/>
        <v>-3470.4142988172553</v>
      </c>
      <c r="O51" s="187">
        <f t="shared" si="9"/>
        <v>0</v>
      </c>
      <c r="P51" s="187">
        <f t="shared" si="10"/>
        <v>0</v>
      </c>
      <c r="Q51" s="187">
        <v>0</v>
      </c>
      <c r="R51" s="188">
        <f t="shared" si="11"/>
        <v>-3470.4142988172553</v>
      </c>
    </row>
    <row r="52" spans="1:18" x14ac:dyDescent="0.25">
      <c r="A52" s="145">
        <v>9</v>
      </c>
      <c r="B52" s="180">
        <f t="shared" si="15"/>
        <v>45170</v>
      </c>
      <c r="C52" s="200">
        <f t="shared" si="16"/>
        <v>45203</v>
      </c>
      <c r="D52" s="200">
        <f t="shared" si="16"/>
        <v>45223</v>
      </c>
      <c r="E52" s="189" t="s">
        <v>83</v>
      </c>
      <c r="F52" s="145">
        <v>9</v>
      </c>
      <c r="G52" s="182">
        <v>144</v>
      </c>
      <c r="H52" s="183">
        <f t="shared" si="5"/>
        <v>1391.1942737059592</v>
      </c>
      <c r="I52" s="183">
        <f t="shared" si="1"/>
        <v>1371.0212071439194</v>
      </c>
      <c r="J52" s="187">
        <f t="shared" si="17"/>
        <v>197427.0538287244</v>
      </c>
      <c r="K52" s="191">
        <f t="shared" si="18"/>
        <v>200331.97541365813</v>
      </c>
      <c r="L52" s="190">
        <f t="shared" si="19"/>
        <v>-2904.9215849337343</v>
      </c>
      <c r="M52" s="187">
        <f t="shared" si="7"/>
        <v>-238.09513852340442</v>
      </c>
      <c r="N52" s="188">
        <f t="shared" si="8"/>
        <v>-3143.0167234571386</v>
      </c>
      <c r="O52" s="187">
        <f t="shared" si="9"/>
        <v>0</v>
      </c>
      <c r="P52" s="187">
        <f t="shared" si="10"/>
        <v>0</v>
      </c>
      <c r="Q52" s="187">
        <v>0</v>
      </c>
      <c r="R52" s="188">
        <f t="shared" si="11"/>
        <v>-3143.0167234571386</v>
      </c>
    </row>
    <row r="53" spans="1:18" x14ac:dyDescent="0.25">
      <c r="A53" s="111">
        <v>10</v>
      </c>
      <c r="B53" s="180">
        <f t="shared" si="15"/>
        <v>45200</v>
      </c>
      <c r="C53" s="200">
        <f t="shared" si="16"/>
        <v>45233</v>
      </c>
      <c r="D53" s="200">
        <f t="shared" si="16"/>
        <v>45254</v>
      </c>
      <c r="E53" s="189" t="s">
        <v>83</v>
      </c>
      <c r="F53" s="145">
        <v>9</v>
      </c>
      <c r="G53" s="182">
        <v>117</v>
      </c>
      <c r="H53" s="183">
        <f t="shared" si="5"/>
        <v>1391.1942737059592</v>
      </c>
      <c r="I53" s="183">
        <f t="shared" si="1"/>
        <v>1371.0212071439194</v>
      </c>
      <c r="J53" s="187">
        <f t="shared" si="17"/>
        <v>160409.48123583855</v>
      </c>
      <c r="K53" s="191">
        <f t="shared" si="18"/>
        <v>162769.73002359722</v>
      </c>
      <c r="L53" s="190">
        <f t="shared" si="19"/>
        <v>-2360.2487877586682</v>
      </c>
      <c r="M53" s="187">
        <f t="shared" si="7"/>
        <v>-193.4523000502661</v>
      </c>
      <c r="N53" s="188">
        <f t="shared" si="8"/>
        <v>-2553.7010878089341</v>
      </c>
      <c r="O53" s="187">
        <f t="shared" si="9"/>
        <v>0</v>
      </c>
      <c r="P53" s="187">
        <f t="shared" si="10"/>
        <v>0</v>
      </c>
      <c r="Q53" s="187">
        <v>0</v>
      </c>
      <c r="R53" s="188">
        <f t="shared" si="11"/>
        <v>-2553.7010878089341</v>
      </c>
    </row>
    <row r="54" spans="1:18" x14ac:dyDescent="0.25">
      <c r="A54" s="145">
        <v>11</v>
      </c>
      <c r="B54" s="180">
        <f t="shared" si="15"/>
        <v>45231</v>
      </c>
      <c r="C54" s="200">
        <f t="shared" si="16"/>
        <v>45266</v>
      </c>
      <c r="D54" s="200">
        <f t="shared" si="16"/>
        <v>45285</v>
      </c>
      <c r="E54" s="189" t="s">
        <v>83</v>
      </c>
      <c r="F54" s="145">
        <v>9</v>
      </c>
      <c r="G54" s="182">
        <v>134</v>
      </c>
      <c r="H54" s="183">
        <f t="shared" si="5"/>
        <v>1391.1942737059592</v>
      </c>
      <c r="I54" s="183">
        <f t="shared" si="1"/>
        <v>1371.0212071439194</v>
      </c>
      <c r="J54" s="187">
        <f t="shared" si="17"/>
        <v>183716.8417572852</v>
      </c>
      <c r="K54" s="191">
        <f t="shared" si="18"/>
        <v>186420.03267659852</v>
      </c>
      <c r="L54" s="190">
        <f t="shared" si="19"/>
        <v>-2703.1909193133179</v>
      </c>
      <c r="M54" s="187">
        <f t="shared" si="7"/>
        <v>-221.56075390372357</v>
      </c>
      <c r="N54" s="188">
        <f t="shared" si="8"/>
        <v>-2924.7516732170416</v>
      </c>
      <c r="O54" s="187">
        <f t="shared" si="9"/>
        <v>0</v>
      </c>
      <c r="P54" s="187">
        <f t="shared" si="10"/>
        <v>0</v>
      </c>
      <c r="Q54" s="187">
        <v>0</v>
      </c>
      <c r="R54" s="188">
        <f t="shared" si="11"/>
        <v>-2924.7516732170416</v>
      </c>
    </row>
    <row r="55" spans="1:18" x14ac:dyDescent="0.25">
      <c r="A55" s="145">
        <v>12</v>
      </c>
      <c r="B55" s="180">
        <f t="shared" si="15"/>
        <v>45261</v>
      </c>
      <c r="C55" s="200">
        <f t="shared" si="16"/>
        <v>45294</v>
      </c>
      <c r="D55" s="200">
        <f t="shared" si="16"/>
        <v>45315</v>
      </c>
      <c r="E55" s="189" t="s">
        <v>83</v>
      </c>
      <c r="F55" s="145">
        <v>9</v>
      </c>
      <c r="G55" s="182">
        <v>145</v>
      </c>
      <c r="H55" s="192">
        <f t="shared" si="5"/>
        <v>1391.1942737059592</v>
      </c>
      <c r="I55" s="192">
        <f t="shared" si="1"/>
        <v>1371.0212071439194</v>
      </c>
      <c r="J55" s="193">
        <f t="shared" si="17"/>
        <v>198798.0750358683</v>
      </c>
      <c r="K55" s="194">
        <f t="shared" si="18"/>
        <v>201723.16968736408</v>
      </c>
      <c r="L55" s="195">
        <f t="shared" si="19"/>
        <v>-2925.0946514957759</v>
      </c>
      <c r="M55" s="187">
        <f t="shared" si="7"/>
        <v>-239.74857698537249</v>
      </c>
      <c r="N55" s="188">
        <f t="shared" si="8"/>
        <v>-3164.8432284811483</v>
      </c>
      <c r="O55" s="187">
        <f t="shared" si="9"/>
        <v>0</v>
      </c>
      <c r="P55" s="187">
        <f t="shared" si="10"/>
        <v>0</v>
      </c>
      <c r="Q55" s="187">
        <v>0</v>
      </c>
      <c r="R55" s="188">
        <f t="shared" si="11"/>
        <v>-3164.8432284811483</v>
      </c>
    </row>
    <row r="56" spans="1:18" s="201" customFormat="1" x14ac:dyDescent="0.25">
      <c r="A56" s="111">
        <v>1</v>
      </c>
      <c r="B56" s="196">
        <f t="shared" si="4"/>
        <v>44927</v>
      </c>
      <c r="C56" s="197">
        <f t="shared" ref="C56:D67" si="20">+C32</f>
        <v>44960</v>
      </c>
      <c r="D56" s="197">
        <f t="shared" si="20"/>
        <v>44981</v>
      </c>
      <c r="E56" s="198" t="s">
        <v>14</v>
      </c>
      <c r="F56" s="199">
        <v>9</v>
      </c>
      <c r="G56" s="182">
        <v>828</v>
      </c>
      <c r="H56" s="183">
        <f t="shared" si="5"/>
        <v>1391.1942737059592</v>
      </c>
      <c r="I56" s="183">
        <f t="shared" si="1"/>
        <v>1371.0212071439194</v>
      </c>
      <c r="J56" s="184">
        <f>+$G56*I56</f>
        <v>1135205.5595151652</v>
      </c>
      <c r="K56" s="185">
        <f t="shared" si="13"/>
        <v>1151908.8586285342</v>
      </c>
      <c r="L56" s="186">
        <f t="shared" si="14"/>
        <v>-16703.299113369081</v>
      </c>
      <c r="M56" s="187">
        <f t="shared" si="7"/>
        <v>-1369.0470465095755</v>
      </c>
      <c r="N56" s="188">
        <f t="shared" si="8"/>
        <v>-18072.346159878656</v>
      </c>
      <c r="O56" s="187">
        <f t="shared" si="9"/>
        <v>0</v>
      </c>
      <c r="P56" s="187">
        <f t="shared" si="10"/>
        <v>0</v>
      </c>
      <c r="Q56" s="187">
        <v>0</v>
      </c>
      <c r="R56" s="188">
        <f t="shared" si="11"/>
        <v>-18072.346159878656</v>
      </c>
    </row>
    <row r="57" spans="1:18" x14ac:dyDescent="0.25">
      <c r="A57" s="145">
        <v>2</v>
      </c>
      <c r="B57" s="180">
        <f t="shared" si="4"/>
        <v>44958</v>
      </c>
      <c r="C57" s="200">
        <f t="shared" si="20"/>
        <v>44988</v>
      </c>
      <c r="D57" s="200">
        <f t="shared" si="20"/>
        <v>45009</v>
      </c>
      <c r="E57" s="189" t="s">
        <v>14</v>
      </c>
      <c r="F57" s="145">
        <v>9</v>
      </c>
      <c r="G57" s="182">
        <v>786</v>
      </c>
      <c r="H57" s="183">
        <f t="shared" si="5"/>
        <v>1391.1942737059592</v>
      </c>
      <c r="I57" s="183">
        <f t="shared" si="1"/>
        <v>1371.0212071439194</v>
      </c>
      <c r="J57" s="184">
        <f t="shared" si="2"/>
        <v>1077622.6688151206</v>
      </c>
      <c r="K57" s="185">
        <f t="shared" si="13"/>
        <v>1093478.6991328839</v>
      </c>
      <c r="L57" s="186">
        <f t="shared" si="14"/>
        <v>-15856.030317763332</v>
      </c>
      <c r="M57" s="187">
        <f t="shared" si="7"/>
        <v>-1299.6026311069156</v>
      </c>
      <c r="N57" s="188">
        <f t="shared" si="8"/>
        <v>-17155.632948870247</v>
      </c>
      <c r="O57" s="187">
        <f t="shared" si="9"/>
        <v>0</v>
      </c>
      <c r="P57" s="187">
        <f t="shared" si="10"/>
        <v>0</v>
      </c>
      <c r="Q57" s="187">
        <v>0</v>
      </c>
      <c r="R57" s="188">
        <f t="shared" si="11"/>
        <v>-17155.632948870247</v>
      </c>
    </row>
    <row r="58" spans="1:18" x14ac:dyDescent="0.25">
      <c r="A58" s="145">
        <v>3</v>
      </c>
      <c r="B58" s="180">
        <f t="shared" si="4"/>
        <v>44986</v>
      </c>
      <c r="C58" s="200">
        <f t="shared" si="20"/>
        <v>45021</v>
      </c>
      <c r="D58" s="200">
        <f t="shared" si="20"/>
        <v>45040</v>
      </c>
      <c r="E58" s="189" t="s">
        <v>14</v>
      </c>
      <c r="F58" s="145">
        <v>9</v>
      </c>
      <c r="G58" s="182">
        <v>702</v>
      </c>
      <c r="H58" s="183">
        <f t="shared" si="5"/>
        <v>1391.1942737059592</v>
      </c>
      <c r="I58" s="183">
        <f t="shared" si="1"/>
        <v>1371.0212071439194</v>
      </c>
      <c r="J58" s="184">
        <f t="shared" si="2"/>
        <v>962456.88741503144</v>
      </c>
      <c r="K58" s="185">
        <f t="shared" si="13"/>
        <v>976618.38014158339</v>
      </c>
      <c r="L58" s="186">
        <f>+J58-K58</f>
        <v>-14161.492726551951</v>
      </c>
      <c r="M58" s="187">
        <f t="shared" si="7"/>
        <v>-1160.7138003015966</v>
      </c>
      <c r="N58" s="188">
        <f t="shared" si="8"/>
        <v>-15322.206526853548</v>
      </c>
      <c r="O58" s="187">
        <f t="shared" si="9"/>
        <v>0</v>
      </c>
      <c r="P58" s="187">
        <f t="shared" si="10"/>
        <v>0</v>
      </c>
      <c r="Q58" s="187">
        <v>0</v>
      </c>
      <c r="R58" s="188">
        <f t="shared" si="11"/>
        <v>-15322.206526853548</v>
      </c>
    </row>
    <row r="59" spans="1:18" x14ac:dyDescent="0.25">
      <c r="A59" s="111">
        <v>4</v>
      </c>
      <c r="B59" s="180">
        <f t="shared" si="4"/>
        <v>45017</v>
      </c>
      <c r="C59" s="200">
        <f t="shared" si="20"/>
        <v>45049</v>
      </c>
      <c r="D59" s="200">
        <f t="shared" si="20"/>
        <v>45070</v>
      </c>
      <c r="E59" s="189" t="s">
        <v>14</v>
      </c>
      <c r="F59" s="145">
        <v>9</v>
      </c>
      <c r="G59" s="182">
        <v>519</v>
      </c>
      <c r="H59" s="183">
        <f t="shared" si="5"/>
        <v>1391.1942737059592</v>
      </c>
      <c r="I59" s="183">
        <f t="shared" si="1"/>
        <v>1371.0212071439194</v>
      </c>
      <c r="J59" s="184">
        <f t="shared" si="2"/>
        <v>711560.00650769414</v>
      </c>
      <c r="K59" s="185">
        <f t="shared" si="13"/>
        <v>722029.82805339282</v>
      </c>
      <c r="L59" s="186">
        <f t="shared" ref="L59:L81" si="21">+J59-K59</f>
        <v>-10469.82154569868</v>
      </c>
      <c r="M59" s="187">
        <f t="shared" si="7"/>
        <v>-858.13456176143666</v>
      </c>
      <c r="N59" s="188">
        <f t="shared" si="8"/>
        <v>-11327.956107460117</v>
      </c>
      <c r="O59" s="187">
        <f t="shared" si="9"/>
        <v>0</v>
      </c>
      <c r="P59" s="187">
        <f t="shared" si="10"/>
        <v>0</v>
      </c>
      <c r="Q59" s="187">
        <v>0</v>
      </c>
      <c r="R59" s="188">
        <f t="shared" si="11"/>
        <v>-11327.956107460117</v>
      </c>
    </row>
    <row r="60" spans="1:18" x14ac:dyDescent="0.25">
      <c r="A60" s="145">
        <v>5</v>
      </c>
      <c r="B60" s="180">
        <f t="shared" si="4"/>
        <v>45047</v>
      </c>
      <c r="C60" s="200">
        <f t="shared" si="20"/>
        <v>45082</v>
      </c>
      <c r="D60" s="200">
        <f t="shared" si="20"/>
        <v>45103</v>
      </c>
      <c r="E60" s="52" t="s">
        <v>14</v>
      </c>
      <c r="F60" s="145">
        <v>9</v>
      </c>
      <c r="G60" s="182">
        <v>720</v>
      </c>
      <c r="H60" s="183">
        <f t="shared" si="5"/>
        <v>1391.1942737059592</v>
      </c>
      <c r="I60" s="183">
        <f t="shared" si="1"/>
        <v>1371.0212071439194</v>
      </c>
      <c r="J60" s="184">
        <f t="shared" si="2"/>
        <v>987135.2691436219</v>
      </c>
      <c r="K60" s="185">
        <f t="shared" si="13"/>
        <v>1001659.8770682906</v>
      </c>
      <c r="L60" s="186">
        <f t="shared" si="21"/>
        <v>-14524.6079246687</v>
      </c>
      <c r="M60" s="187">
        <f t="shared" si="7"/>
        <v>-1190.4756926170221</v>
      </c>
      <c r="N60" s="188">
        <f t="shared" si="8"/>
        <v>-15715.083617285723</v>
      </c>
      <c r="O60" s="187">
        <f t="shared" si="9"/>
        <v>0</v>
      </c>
      <c r="P60" s="187">
        <f t="shared" si="10"/>
        <v>0</v>
      </c>
      <c r="Q60" s="187">
        <v>0</v>
      </c>
      <c r="R60" s="188">
        <f t="shared" si="11"/>
        <v>-15715.083617285723</v>
      </c>
    </row>
    <row r="61" spans="1:18" x14ac:dyDescent="0.25">
      <c r="A61" s="145">
        <v>6</v>
      </c>
      <c r="B61" s="180">
        <f t="shared" si="4"/>
        <v>45078</v>
      </c>
      <c r="C61" s="200">
        <f t="shared" si="20"/>
        <v>45112</v>
      </c>
      <c r="D61" s="200">
        <f t="shared" si="20"/>
        <v>45131</v>
      </c>
      <c r="E61" s="52" t="s">
        <v>14</v>
      </c>
      <c r="F61" s="145">
        <v>9</v>
      </c>
      <c r="G61" s="182">
        <v>975</v>
      </c>
      <c r="H61" s="183">
        <f t="shared" si="5"/>
        <v>1391.1942737059592</v>
      </c>
      <c r="I61" s="183">
        <f t="shared" si="1"/>
        <v>1371.0212071439194</v>
      </c>
      <c r="J61" s="184">
        <f t="shared" si="2"/>
        <v>1336745.6769653214</v>
      </c>
      <c r="K61" s="185">
        <f t="shared" si="13"/>
        <v>1356414.4168633102</v>
      </c>
      <c r="L61" s="190">
        <f t="shared" si="21"/>
        <v>-19668.739897988737</v>
      </c>
      <c r="M61" s="187">
        <f t="shared" si="7"/>
        <v>-1612.1025004188841</v>
      </c>
      <c r="N61" s="188">
        <f t="shared" si="8"/>
        <v>-21280.842398407622</v>
      </c>
      <c r="O61" s="187">
        <f t="shared" si="9"/>
        <v>0</v>
      </c>
      <c r="P61" s="187">
        <f t="shared" si="10"/>
        <v>0</v>
      </c>
      <c r="Q61" s="187">
        <v>0</v>
      </c>
      <c r="R61" s="188">
        <f t="shared" si="11"/>
        <v>-21280.842398407622</v>
      </c>
    </row>
    <row r="62" spans="1:18" x14ac:dyDescent="0.25">
      <c r="A62" s="111">
        <v>7</v>
      </c>
      <c r="B62" s="180">
        <f t="shared" si="4"/>
        <v>45108</v>
      </c>
      <c r="C62" s="200">
        <f t="shared" si="20"/>
        <v>45141</v>
      </c>
      <c r="D62" s="200">
        <f t="shared" si="20"/>
        <v>45162</v>
      </c>
      <c r="E62" s="52" t="s">
        <v>14</v>
      </c>
      <c r="F62" s="145">
        <v>9</v>
      </c>
      <c r="G62" s="182">
        <v>924</v>
      </c>
      <c r="H62" s="183">
        <f t="shared" si="5"/>
        <v>1391.1942737059592</v>
      </c>
      <c r="I62" s="183">
        <f t="shared" si="1"/>
        <v>1371.0212071439194</v>
      </c>
      <c r="J62" s="184">
        <f t="shared" si="2"/>
        <v>1266823.5954009814</v>
      </c>
      <c r="K62" s="191">
        <f t="shared" si="13"/>
        <v>1285463.5089043062</v>
      </c>
      <c r="L62" s="190">
        <f t="shared" si="21"/>
        <v>-18639.913503324846</v>
      </c>
      <c r="M62" s="187">
        <f t="shared" si="7"/>
        <v>-1527.7771388585115</v>
      </c>
      <c r="N62" s="188">
        <f t="shared" si="8"/>
        <v>-20167.690642183356</v>
      </c>
      <c r="O62" s="187">
        <f t="shared" si="9"/>
        <v>0</v>
      </c>
      <c r="P62" s="187">
        <f t="shared" si="10"/>
        <v>0</v>
      </c>
      <c r="Q62" s="187">
        <v>0</v>
      </c>
      <c r="R62" s="188">
        <f t="shared" si="11"/>
        <v>-20167.690642183356</v>
      </c>
    </row>
    <row r="63" spans="1:18" x14ac:dyDescent="0.25">
      <c r="A63" s="145">
        <v>8</v>
      </c>
      <c r="B63" s="180">
        <f t="shared" si="4"/>
        <v>45139</v>
      </c>
      <c r="C63" s="200">
        <f t="shared" si="20"/>
        <v>45174</v>
      </c>
      <c r="D63" s="200">
        <f t="shared" si="20"/>
        <v>45194</v>
      </c>
      <c r="E63" s="52" t="s">
        <v>14</v>
      </c>
      <c r="F63" s="145">
        <v>9</v>
      </c>
      <c r="G63" s="182">
        <v>1053</v>
      </c>
      <c r="H63" s="183">
        <f t="shared" si="5"/>
        <v>1391.1942737059592</v>
      </c>
      <c r="I63" s="183">
        <f t="shared" si="1"/>
        <v>1371.0212071439194</v>
      </c>
      <c r="J63" s="184">
        <f t="shared" si="2"/>
        <v>1443685.3311225472</v>
      </c>
      <c r="K63" s="191">
        <f t="shared" si="13"/>
        <v>1464927.5702123749</v>
      </c>
      <c r="L63" s="190">
        <f t="shared" si="21"/>
        <v>-21242.239089827752</v>
      </c>
      <c r="M63" s="187">
        <f t="shared" si="7"/>
        <v>-1741.0707004523949</v>
      </c>
      <c r="N63" s="188">
        <f t="shared" si="8"/>
        <v>-22983.309790280146</v>
      </c>
      <c r="O63" s="187">
        <f t="shared" si="9"/>
        <v>0</v>
      </c>
      <c r="P63" s="187">
        <f t="shared" si="10"/>
        <v>0</v>
      </c>
      <c r="Q63" s="187">
        <v>0</v>
      </c>
      <c r="R63" s="188">
        <f t="shared" si="11"/>
        <v>-22983.309790280146</v>
      </c>
    </row>
    <row r="64" spans="1:18" x14ac:dyDescent="0.25">
      <c r="A64" s="145">
        <v>9</v>
      </c>
      <c r="B64" s="180">
        <f t="shared" si="4"/>
        <v>45170</v>
      </c>
      <c r="C64" s="200">
        <f t="shared" si="20"/>
        <v>45203</v>
      </c>
      <c r="D64" s="200">
        <f t="shared" si="20"/>
        <v>45223</v>
      </c>
      <c r="E64" s="52" t="s">
        <v>14</v>
      </c>
      <c r="F64" s="145">
        <v>9</v>
      </c>
      <c r="G64" s="182">
        <v>905</v>
      </c>
      <c r="H64" s="183">
        <f t="shared" si="5"/>
        <v>1391.1942737059592</v>
      </c>
      <c r="I64" s="183">
        <f t="shared" ref="I64:I107" si="22">$J$3</f>
        <v>1371.0212071439194</v>
      </c>
      <c r="J64" s="184">
        <f t="shared" si="2"/>
        <v>1240774.1924652471</v>
      </c>
      <c r="K64" s="191">
        <f t="shared" si="13"/>
        <v>1259030.8177038929</v>
      </c>
      <c r="L64" s="190">
        <f t="shared" si="21"/>
        <v>-18256.625238645822</v>
      </c>
      <c r="M64" s="187">
        <f t="shared" si="7"/>
        <v>-1496.3618080811179</v>
      </c>
      <c r="N64" s="188">
        <f t="shared" si="8"/>
        <v>-19752.987046726939</v>
      </c>
      <c r="O64" s="187">
        <f t="shared" si="9"/>
        <v>0</v>
      </c>
      <c r="P64" s="187">
        <f t="shared" si="10"/>
        <v>0</v>
      </c>
      <c r="Q64" s="187">
        <v>0</v>
      </c>
      <c r="R64" s="188">
        <f t="shared" si="11"/>
        <v>-19752.987046726939</v>
      </c>
    </row>
    <row r="65" spans="1:18" x14ac:dyDescent="0.25">
      <c r="A65" s="111">
        <v>10</v>
      </c>
      <c r="B65" s="180">
        <f t="shared" si="4"/>
        <v>45200</v>
      </c>
      <c r="C65" s="200">
        <f t="shared" si="20"/>
        <v>45233</v>
      </c>
      <c r="D65" s="200">
        <f t="shared" si="20"/>
        <v>45254</v>
      </c>
      <c r="E65" s="52" t="s">
        <v>14</v>
      </c>
      <c r="F65" s="145">
        <v>9</v>
      </c>
      <c r="G65" s="182">
        <v>694</v>
      </c>
      <c r="H65" s="183">
        <f t="shared" si="5"/>
        <v>1391.1942737059592</v>
      </c>
      <c r="I65" s="183">
        <f t="shared" si="22"/>
        <v>1371.0212071439194</v>
      </c>
      <c r="J65" s="184">
        <f t="shared" si="2"/>
        <v>951488.71775787999</v>
      </c>
      <c r="K65" s="191">
        <f t="shared" si="13"/>
        <v>965488.82595193572</v>
      </c>
      <c r="L65" s="190">
        <f t="shared" si="21"/>
        <v>-14000.108194055734</v>
      </c>
      <c r="M65" s="187">
        <f t="shared" si="7"/>
        <v>-1147.4862926058518</v>
      </c>
      <c r="N65" s="188">
        <f t="shared" si="8"/>
        <v>-15147.594486661586</v>
      </c>
      <c r="O65" s="187">
        <f t="shared" si="9"/>
        <v>0</v>
      </c>
      <c r="P65" s="187">
        <f t="shared" si="10"/>
        <v>0</v>
      </c>
      <c r="Q65" s="187">
        <v>0</v>
      </c>
      <c r="R65" s="188">
        <f t="shared" si="11"/>
        <v>-15147.594486661586</v>
      </c>
    </row>
    <row r="66" spans="1:18" x14ac:dyDescent="0.25">
      <c r="A66" s="145">
        <v>11</v>
      </c>
      <c r="B66" s="180">
        <f t="shared" si="4"/>
        <v>45231</v>
      </c>
      <c r="C66" s="200">
        <f t="shared" si="20"/>
        <v>45266</v>
      </c>
      <c r="D66" s="200">
        <f t="shared" si="20"/>
        <v>45285</v>
      </c>
      <c r="E66" s="52" t="s">
        <v>14</v>
      </c>
      <c r="F66" s="145">
        <v>9</v>
      </c>
      <c r="G66" s="182">
        <v>736</v>
      </c>
      <c r="H66" s="183">
        <f t="shared" si="5"/>
        <v>1391.1942737059592</v>
      </c>
      <c r="I66" s="183">
        <f t="shared" si="22"/>
        <v>1371.0212071439194</v>
      </c>
      <c r="J66" s="184">
        <f t="shared" si="2"/>
        <v>1009071.6084579247</v>
      </c>
      <c r="K66" s="191">
        <f t="shared" si="13"/>
        <v>1023918.9854475859</v>
      </c>
      <c r="L66" s="190">
        <f t="shared" si="21"/>
        <v>-14847.37698966125</v>
      </c>
      <c r="M66" s="187">
        <f t="shared" si="7"/>
        <v>-1216.9307080085114</v>
      </c>
      <c r="N66" s="188">
        <f t="shared" si="8"/>
        <v>-16064.307697669761</v>
      </c>
      <c r="O66" s="187">
        <f t="shared" si="9"/>
        <v>0</v>
      </c>
      <c r="P66" s="187">
        <f t="shared" si="10"/>
        <v>0</v>
      </c>
      <c r="Q66" s="187">
        <v>0</v>
      </c>
      <c r="R66" s="188">
        <f t="shared" si="11"/>
        <v>-16064.307697669761</v>
      </c>
    </row>
    <row r="67" spans="1:18" s="204" customFormat="1" x14ac:dyDescent="0.25">
      <c r="A67" s="145">
        <v>12</v>
      </c>
      <c r="B67" s="202">
        <f t="shared" si="4"/>
        <v>45261</v>
      </c>
      <c r="C67" s="200">
        <f t="shared" si="20"/>
        <v>45294</v>
      </c>
      <c r="D67" s="200">
        <f t="shared" si="20"/>
        <v>45315</v>
      </c>
      <c r="E67" s="203" t="s">
        <v>14</v>
      </c>
      <c r="F67" s="156">
        <v>9</v>
      </c>
      <c r="G67" s="182">
        <v>713</v>
      </c>
      <c r="H67" s="192">
        <f t="shared" si="5"/>
        <v>1391.1942737059592</v>
      </c>
      <c r="I67" s="192">
        <f t="shared" si="22"/>
        <v>1371.0212071439194</v>
      </c>
      <c r="J67" s="193">
        <f t="shared" si="2"/>
        <v>977538.12069361447</v>
      </c>
      <c r="K67" s="194">
        <f t="shared" si="13"/>
        <v>991921.51715234888</v>
      </c>
      <c r="L67" s="195">
        <f t="shared" si="21"/>
        <v>-14383.396458734409</v>
      </c>
      <c r="M67" s="187">
        <f t="shared" si="7"/>
        <v>-1178.9016233832454</v>
      </c>
      <c r="N67" s="188">
        <f t="shared" si="8"/>
        <v>-15562.298082117653</v>
      </c>
      <c r="O67" s="187">
        <f t="shared" si="9"/>
        <v>0</v>
      </c>
      <c r="P67" s="187">
        <f t="shared" si="10"/>
        <v>0</v>
      </c>
      <c r="Q67" s="187">
        <v>0</v>
      </c>
      <c r="R67" s="188">
        <f t="shared" si="11"/>
        <v>-15562.298082117653</v>
      </c>
    </row>
    <row r="68" spans="1:18" x14ac:dyDescent="0.25">
      <c r="A68" s="111">
        <v>1</v>
      </c>
      <c r="B68" s="180">
        <f t="shared" si="4"/>
        <v>44927</v>
      </c>
      <c r="C68" s="197">
        <f t="shared" ref="C68:D79" si="23">+C56</f>
        <v>44960</v>
      </c>
      <c r="D68" s="197">
        <f t="shared" si="23"/>
        <v>44981</v>
      </c>
      <c r="E68" s="181" t="s">
        <v>87</v>
      </c>
      <c r="F68" s="111">
        <v>9</v>
      </c>
      <c r="G68" s="182">
        <v>44</v>
      </c>
      <c r="H68" s="183">
        <f t="shared" si="5"/>
        <v>1391.1942737059592</v>
      </c>
      <c r="I68" s="183">
        <f t="shared" si="22"/>
        <v>1371.0212071439194</v>
      </c>
      <c r="J68" s="184">
        <f t="shared" si="2"/>
        <v>60324.933114332453</v>
      </c>
      <c r="K68" s="185">
        <f t="shared" si="13"/>
        <v>61212.548043062205</v>
      </c>
      <c r="L68" s="186">
        <f t="shared" si="21"/>
        <v>-887.61492872975214</v>
      </c>
      <c r="M68" s="187">
        <f t="shared" si="7"/>
        <v>-72.751292326595802</v>
      </c>
      <c r="N68" s="188">
        <f t="shared" si="8"/>
        <v>-960.36622105634797</v>
      </c>
      <c r="O68" s="187">
        <f t="shared" si="9"/>
        <v>0</v>
      </c>
      <c r="P68" s="187">
        <f t="shared" si="10"/>
        <v>0</v>
      </c>
      <c r="Q68" s="187">
        <v>0</v>
      </c>
      <c r="R68" s="188">
        <f t="shared" si="11"/>
        <v>-960.36622105634797</v>
      </c>
    </row>
    <row r="69" spans="1:18" x14ac:dyDescent="0.25">
      <c r="A69" s="145">
        <v>2</v>
      </c>
      <c r="B69" s="180">
        <f t="shared" si="4"/>
        <v>44958</v>
      </c>
      <c r="C69" s="200">
        <f t="shared" si="23"/>
        <v>44988</v>
      </c>
      <c r="D69" s="200">
        <f t="shared" si="23"/>
        <v>45009</v>
      </c>
      <c r="E69" s="189" t="s">
        <v>87</v>
      </c>
      <c r="F69" s="145">
        <v>9</v>
      </c>
      <c r="G69" s="182">
        <v>42</v>
      </c>
      <c r="H69" s="183">
        <f t="shared" si="5"/>
        <v>1391.1942737059592</v>
      </c>
      <c r="I69" s="183">
        <f t="shared" si="22"/>
        <v>1371.0212071439194</v>
      </c>
      <c r="J69" s="184">
        <f t="shared" si="2"/>
        <v>57582.890700044612</v>
      </c>
      <c r="K69" s="185">
        <f t="shared" si="13"/>
        <v>58430.159495650289</v>
      </c>
      <c r="L69" s="186">
        <f t="shared" si="21"/>
        <v>-847.26879560567613</v>
      </c>
      <c r="M69" s="187">
        <f t="shared" si="7"/>
        <v>-69.444415402659615</v>
      </c>
      <c r="N69" s="188">
        <f t="shared" si="8"/>
        <v>-916.71321100833575</v>
      </c>
      <c r="O69" s="187">
        <f t="shared" si="9"/>
        <v>0</v>
      </c>
      <c r="P69" s="187">
        <f t="shared" si="10"/>
        <v>0</v>
      </c>
      <c r="Q69" s="187">
        <v>0</v>
      </c>
      <c r="R69" s="188">
        <f t="shared" si="11"/>
        <v>-916.71321100833575</v>
      </c>
    </row>
    <row r="70" spans="1:18" x14ac:dyDescent="0.25">
      <c r="A70" s="145">
        <v>3</v>
      </c>
      <c r="B70" s="180">
        <f t="shared" si="4"/>
        <v>44986</v>
      </c>
      <c r="C70" s="200">
        <f t="shared" si="23"/>
        <v>45021</v>
      </c>
      <c r="D70" s="200">
        <f t="shared" si="23"/>
        <v>45040</v>
      </c>
      <c r="E70" s="189" t="s">
        <v>87</v>
      </c>
      <c r="F70" s="145">
        <v>9</v>
      </c>
      <c r="G70" s="182">
        <v>37</v>
      </c>
      <c r="H70" s="183">
        <f t="shared" si="5"/>
        <v>1391.1942737059592</v>
      </c>
      <c r="I70" s="183">
        <f t="shared" si="22"/>
        <v>1371.0212071439194</v>
      </c>
      <c r="J70" s="184">
        <f t="shared" si="2"/>
        <v>50727.784664325016</v>
      </c>
      <c r="K70" s="185">
        <f t="shared" si="13"/>
        <v>51474.188127120491</v>
      </c>
      <c r="L70" s="186">
        <f>+J70-K70</f>
        <v>-746.40346279547521</v>
      </c>
      <c r="M70" s="187">
        <f t="shared" si="7"/>
        <v>-61.177223092819183</v>
      </c>
      <c r="N70" s="188">
        <f t="shared" si="8"/>
        <v>-807.5806858882944</v>
      </c>
      <c r="O70" s="187">
        <f t="shared" si="9"/>
        <v>0</v>
      </c>
      <c r="P70" s="187">
        <f t="shared" si="10"/>
        <v>0</v>
      </c>
      <c r="Q70" s="187">
        <v>0</v>
      </c>
      <c r="R70" s="188">
        <f t="shared" si="11"/>
        <v>-807.5806858882944</v>
      </c>
    </row>
    <row r="71" spans="1:18" x14ac:dyDescent="0.25">
      <c r="A71" s="111">
        <v>4</v>
      </c>
      <c r="B71" s="180">
        <f t="shared" si="4"/>
        <v>45017</v>
      </c>
      <c r="C71" s="200">
        <f t="shared" si="23"/>
        <v>45049</v>
      </c>
      <c r="D71" s="200">
        <f t="shared" si="23"/>
        <v>45070</v>
      </c>
      <c r="E71" s="189" t="s">
        <v>87</v>
      </c>
      <c r="F71" s="145">
        <v>9</v>
      </c>
      <c r="G71" s="182">
        <v>27</v>
      </c>
      <c r="H71" s="183">
        <f t="shared" si="5"/>
        <v>1391.1942737059592</v>
      </c>
      <c r="I71" s="183">
        <f t="shared" si="22"/>
        <v>1371.0212071439194</v>
      </c>
      <c r="J71" s="184">
        <f t="shared" si="2"/>
        <v>37017.572592885823</v>
      </c>
      <c r="K71" s="185">
        <f t="shared" si="13"/>
        <v>37562.245390060896</v>
      </c>
      <c r="L71" s="186">
        <f t="shared" ref="L71:L79" si="24">+J71-K71</f>
        <v>-544.67279717507336</v>
      </c>
      <c r="M71" s="187">
        <f t="shared" si="7"/>
        <v>-44.642838473138333</v>
      </c>
      <c r="N71" s="188">
        <f t="shared" si="8"/>
        <v>-589.3156356482117</v>
      </c>
      <c r="O71" s="187">
        <f t="shared" si="9"/>
        <v>0</v>
      </c>
      <c r="P71" s="187">
        <f t="shared" si="10"/>
        <v>0</v>
      </c>
      <c r="Q71" s="187">
        <v>0</v>
      </c>
      <c r="R71" s="188">
        <f t="shared" si="11"/>
        <v>-589.3156356482117</v>
      </c>
    </row>
    <row r="72" spans="1:18" x14ac:dyDescent="0.25">
      <c r="A72" s="145">
        <v>5</v>
      </c>
      <c r="B72" s="180">
        <f t="shared" si="4"/>
        <v>45047</v>
      </c>
      <c r="C72" s="200">
        <f t="shared" si="23"/>
        <v>45082</v>
      </c>
      <c r="D72" s="200">
        <f t="shared" si="23"/>
        <v>45103</v>
      </c>
      <c r="E72" s="189" t="s">
        <v>87</v>
      </c>
      <c r="F72" s="145">
        <v>9</v>
      </c>
      <c r="G72" s="182">
        <v>42</v>
      </c>
      <c r="H72" s="183">
        <f t="shared" si="5"/>
        <v>1391.1942737059592</v>
      </c>
      <c r="I72" s="183">
        <f t="shared" si="22"/>
        <v>1371.0212071439194</v>
      </c>
      <c r="J72" s="184">
        <f t="shared" si="2"/>
        <v>57582.890700044612</v>
      </c>
      <c r="K72" s="185">
        <f t="shared" si="13"/>
        <v>58430.159495650289</v>
      </c>
      <c r="L72" s="186">
        <f t="shared" si="24"/>
        <v>-847.26879560567613</v>
      </c>
      <c r="M72" s="187">
        <f t="shared" si="7"/>
        <v>-69.444415402659615</v>
      </c>
      <c r="N72" s="188">
        <f t="shared" si="8"/>
        <v>-916.71321100833575</v>
      </c>
      <c r="O72" s="187">
        <f t="shared" si="9"/>
        <v>0</v>
      </c>
      <c r="P72" s="187">
        <f t="shared" si="10"/>
        <v>0</v>
      </c>
      <c r="Q72" s="187">
        <v>0</v>
      </c>
      <c r="R72" s="188">
        <f t="shared" si="11"/>
        <v>-916.71321100833575</v>
      </c>
    </row>
    <row r="73" spans="1:18" x14ac:dyDescent="0.25">
      <c r="A73" s="145">
        <v>6</v>
      </c>
      <c r="B73" s="180">
        <f t="shared" si="4"/>
        <v>45078</v>
      </c>
      <c r="C73" s="200">
        <f t="shared" si="23"/>
        <v>45112</v>
      </c>
      <c r="D73" s="200">
        <f t="shared" si="23"/>
        <v>45131</v>
      </c>
      <c r="E73" s="189" t="s">
        <v>87</v>
      </c>
      <c r="F73" s="145">
        <v>9</v>
      </c>
      <c r="G73" s="182">
        <v>56</v>
      </c>
      <c r="H73" s="183">
        <f t="shared" si="5"/>
        <v>1391.1942737059592</v>
      </c>
      <c r="I73" s="183">
        <f t="shared" si="22"/>
        <v>1371.0212071439194</v>
      </c>
      <c r="J73" s="184">
        <f t="shared" si="2"/>
        <v>76777.187600059478</v>
      </c>
      <c r="K73" s="185">
        <f t="shared" si="13"/>
        <v>77906.879327533708</v>
      </c>
      <c r="L73" s="190">
        <f t="shared" si="24"/>
        <v>-1129.69172747423</v>
      </c>
      <c r="M73" s="187">
        <f t="shared" si="7"/>
        <v>-92.592553870212825</v>
      </c>
      <c r="N73" s="188">
        <f t="shared" si="8"/>
        <v>-1222.2842813444429</v>
      </c>
      <c r="O73" s="187">
        <f t="shared" si="9"/>
        <v>0</v>
      </c>
      <c r="P73" s="187">
        <f t="shared" si="10"/>
        <v>0</v>
      </c>
      <c r="Q73" s="187">
        <v>0</v>
      </c>
      <c r="R73" s="188">
        <f t="shared" si="11"/>
        <v>-1222.2842813444429</v>
      </c>
    </row>
    <row r="74" spans="1:18" x14ac:dyDescent="0.25">
      <c r="A74" s="111">
        <v>7</v>
      </c>
      <c r="B74" s="180">
        <f t="shared" si="4"/>
        <v>45108</v>
      </c>
      <c r="C74" s="200">
        <f t="shared" si="23"/>
        <v>45141</v>
      </c>
      <c r="D74" s="200">
        <f t="shared" si="23"/>
        <v>45162</v>
      </c>
      <c r="E74" s="189" t="s">
        <v>87</v>
      </c>
      <c r="F74" s="145">
        <v>9</v>
      </c>
      <c r="G74" s="182">
        <v>54</v>
      </c>
      <c r="H74" s="183">
        <f t="shared" si="5"/>
        <v>1391.1942737059592</v>
      </c>
      <c r="I74" s="183">
        <f t="shared" si="22"/>
        <v>1371.0212071439194</v>
      </c>
      <c r="J74" s="184">
        <f t="shared" si="2"/>
        <v>74035.145185771646</v>
      </c>
      <c r="K74" s="191">
        <f t="shared" si="13"/>
        <v>75124.490780121792</v>
      </c>
      <c r="L74" s="190">
        <f t="shared" si="24"/>
        <v>-1089.3455943501467</v>
      </c>
      <c r="M74" s="187">
        <f t="shared" si="7"/>
        <v>-89.285676946276666</v>
      </c>
      <c r="N74" s="188">
        <f t="shared" si="8"/>
        <v>-1178.6312712964234</v>
      </c>
      <c r="O74" s="187">
        <f t="shared" si="9"/>
        <v>0</v>
      </c>
      <c r="P74" s="187">
        <f t="shared" si="10"/>
        <v>0</v>
      </c>
      <c r="Q74" s="187">
        <v>0</v>
      </c>
      <c r="R74" s="188">
        <f t="shared" si="11"/>
        <v>-1178.6312712964234</v>
      </c>
    </row>
    <row r="75" spans="1:18" x14ac:dyDescent="0.25">
      <c r="A75" s="145">
        <v>8</v>
      </c>
      <c r="B75" s="180">
        <f t="shared" si="4"/>
        <v>45139</v>
      </c>
      <c r="C75" s="200">
        <f t="shared" si="23"/>
        <v>45174</v>
      </c>
      <c r="D75" s="200">
        <f t="shared" si="23"/>
        <v>45194</v>
      </c>
      <c r="E75" s="189" t="s">
        <v>87</v>
      </c>
      <c r="F75" s="145">
        <v>9</v>
      </c>
      <c r="G75" s="182">
        <v>59</v>
      </c>
      <c r="H75" s="183">
        <f t="shared" si="5"/>
        <v>1391.1942737059592</v>
      </c>
      <c r="I75" s="183">
        <f t="shared" si="22"/>
        <v>1371.0212071439194</v>
      </c>
      <c r="J75" s="184">
        <f t="shared" si="2"/>
        <v>80890.251221491242</v>
      </c>
      <c r="K75" s="191">
        <f t="shared" si="13"/>
        <v>82080.462148651597</v>
      </c>
      <c r="L75" s="190">
        <f t="shared" si="24"/>
        <v>-1190.2109271603549</v>
      </c>
      <c r="M75" s="187">
        <f t="shared" si="7"/>
        <v>-97.552869256117077</v>
      </c>
      <c r="N75" s="188">
        <f t="shared" si="8"/>
        <v>-1287.7637964164719</v>
      </c>
      <c r="O75" s="187">
        <f t="shared" si="9"/>
        <v>0</v>
      </c>
      <c r="P75" s="187">
        <f t="shared" si="10"/>
        <v>0</v>
      </c>
      <c r="Q75" s="187">
        <v>0</v>
      </c>
      <c r="R75" s="188">
        <f t="shared" si="11"/>
        <v>-1287.7637964164719</v>
      </c>
    </row>
    <row r="76" spans="1:18" x14ac:dyDescent="0.25">
      <c r="A76" s="145">
        <v>9</v>
      </c>
      <c r="B76" s="180">
        <f t="shared" si="4"/>
        <v>45170</v>
      </c>
      <c r="C76" s="200">
        <f t="shared" si="23"/>
        <v>45203</v>
      </c>
      <c r="D76" s="200">
        <f t="shared" si="23"/>
        <v>45223</v>
      </c>
      <c r="E76" s="189" t="s">
        <v>87</v>
      </c>
      <c r="F76" s="145">
        <v>9</v>
      </c>
      <c r="G76" s="182">
        <v>54</v>
      </c>
      <c r="H76" s="183">
        <f t="shared" si="5"/>
        <v>1391.1942737059592</v>
      </c>
      <c r="I76" s="183">
        <f t="shared" si="22"/>
        <v>1371.0212071439194</v>
      </c>
      <c r="J76" s="184">
        <f t="shared" si="2"/>
        <v>74035.145185771646</v>
      </c>
      <c r="K76" s="191">
        <f t="shared" si="13"/>
        <v>75124.490780121792</v>
      </c>
      <c r="L76" s="190">
        <f t="shared" si="24"/>
        <v>-1089.3455943501467</v>
      </c>
      <c r="M76" s="187">
        <f t="shared" si="7"/>
        <v>-89.285676946276666</v>
      </c>
      <c r="N76" s="188">
        <f t="shared" si="8"/>
        <v>-1178.6312712964234</v>
      </c>
      <c r="O76" s="187">
        <f t="shared" si="9"/>
        <v>0</v>
      </c>
      <c r="P76" s="187">
        <f t="shared" si="10"/>
        <v>0</v>
      </c>
      <c r="Q76" s="187">
        <v>0</v>
      </c>
      <c r="R76" s="188">
        <f t="shared" si="11"/>
        <v>-1178.6312712964234</v>
      </c>
    </row>
    <row r="77" spans="1:18" x14ac:dyDescent="0.25">
      <c r="A77" s="111">
        <v>10</v>
      </c>
      <c r="B77" s="180">
        <f t="shared" si="4"/>
        <v>45200</v>
      </c>
      <c r="C77" s="200">
        <f t="shared" si="23"/>
        <v>45233</v>
      </c>
      <c r="D77" s="200">
        <f t="shared" si="23"/>
        <v>45254</v>
      </c>
      <c r="E77" s="189" t="s">
        <v>87</v>
      </c>
      <c r="F77" s="145">
        <v>9</v>
      </c>
      <c r="G77" s="182">
        <v>37</v>
      </c>
      <c r="H77" s="183">
        <f t="shared" si="5"/>
        <v>1391.1942737059592</v>
      </c>
      <c r="I77" s="183">
        <f t="shared" si="22"/>
        <v>1371.0212071439194</v>
      </c>
      <c r="J77" s="184">
        <f t="shared" si="2"/>
        <v>50727.784664325016</v>
      </c>
      <c r="K77" s="191">
        <f t="shared" si="13"/>
        <v>51474.188127120491</v>
      </c>
      <c r="L77" s="190">
        <f t="shared" si="24"/>
        <v>-746.40346279547521</v>
      </c>
      <c r="M77" s="187">
        <f t="shared" si="7"/>
        <v>-61.177223092819183</v>
      </c>
      <c r="N77" s="188">
        <f t="shared" si="8"/>
        <v>-807.5806858882944</v>
      </c>
      <c r="O77" s="187">
        <f t="shared" si="9"/>
        <v>0</v>
      </c>
      <c r="P77" s="187">
        <f t="shared" si="10"/>
        <v>0</v>
      </c>
      <c r="Q77" s="187">
        <v>0</v>
      </c>
      <c r="R77" s="188">
        <f t="shared" si="11"/>
        <v>-807.5806858882944</v>
      </c>
    </row>
    <row r="78" spans="1:18" x14ac:dyDescent="0.25">
      <c r="A78" s="145">
        <v>11</v>
      </c>
      <c r="B78" s="180">
        <f t="shared" si="4"/>
        <v>45231</v>
      </c>
      <c r="C78" s="200">
        <f t="shared" si="23"/>
        <v>45266</v>
      </c>
      <c r="D78" s="200">
        <f t="shared" si="23"/>
        <v>45285</v>
      </c>
      <c r="E78" s="189" t="s">
        <v>87</v>
      </c>
      <c r="F78" s="145">
        <v>9</v>
      </c>
      <c r="G78" s="182">
        <v>38</v>
      </c>
      <c r="H78" s="183">
        <f t="shared" si="5"/>
        <v>1391.1942737059592</v>
      </c>
      <c r="I78" s="183">
        <f t="shared" si="22"/>
        <v>1371.0212071439194</v>
      </c>
      <c r="J78" s="184">
        <f t="shared" si="2"/>
        <v>52098.805871468932</v>
      </c>
      <c r="K78" s="191">
        <f>+$G78*H78</f>
        <v>52865.382400826449</v>
      </c>
      <c r="L78" s="190">
        <f t="shared" si="24"/>
        <v>-766.57652935751685</v>
      </c>
      <c r="M78" s="187">
        <f t="shared" si="7"/>
        <v>-62.830661554787277</v>
      </c>
      <c r="N78" s="188">
        <f t="shared" si="8"/>
        <v>-829.40719091230415</v>
      </c>
      <c r="O78" s="187">
        <f t="shared" si="9"/>
        <v>0</v>
      </c>
      <c r="P78" s="187">
        <f t="shared" si="10"/>
        <v>0</v>
      </c>
      <c r="Q78" s="187">
        <v>0</v>
      </c>
      <c r="R78" s="188">
        <f t="shared" si="11"/>
        <v>-829.40719091230415</v>
      </c>
    </row>
    <row r="79" spans="1:18" s="204" customFormat="1" x14ac:dyDescent="0.25">
      <c r="A79" s="145">
        <v>12</v>
      </c>
      <c r="B79" s="202">
        <f t="shared" si="4"/>
        <v>45261</v>
      </c>
      <c r="C79" s="205">
        <f t="shared" si="23"/>
        <v>45294</v>
      </c>
      <c r="D79" s="205">
        <f t="shared" si="23"/>
        <v>45315</v>
      </c>
      <c r="E79" s="206" t="s">
        <v>87</v>
      </c>
      <c r="F79" s="156">
        <v>9</v>
      </c>
      <c r="G79" s="182">
        <v>35</v>
      </c>
      <c r="H79" s="192">
        <f t="shared" si="5"/>
        <v>1391.1942737059592</v>
      </c>
      <c r="I79" s="192">
        <f t="shared" si="22"/>
        <v>1371.0212071439194</v>
      </c>
      <c r="J79" s="193">
        <f t="shared" si="2"/>
        <v>47985.742250037176</v>
      </c>
      <c r="K79" s="194">
        <f>+$G79*H79</f>
        <v>48691.799579708568</v>
      </c>
      <c r="L79" s="195">
        <f t="shared" si="24"/>
        <v>-706.05732967139193</v>
      </c>
      <c r="M79" s="187">
        <f t="shared" si="7"/>
        <v>-57.870346168883017</v>
      </c>
      <c r="N79" s="188">
        <f t="shared" si="8"/>
        <v>-763.9276758402749</v>
      </c>
      <c r="O79" s="187">
        <f t="shared" si="9"/>
        <v>0</v>
      </c>
      <c r="P79" s="187">
        <f t="shared" si="10"/>
        <v>0</v>
      </c>
      <c r="Q79" s="187">
        <v>0</v>
      </c>
      <c r="R79" s="188">
        <f t="shared" si="11"/>
        <v>-763.9276758402749</v>
      </c>
    </row>
    <row r="80" spans="1:18" s="50" customFormat="1" ht="12.75" customHeight="1" x14ac:dyDescent="0.25">
      <c r="A80" s="111">
        <v>1</v>
      </c>
      <c r="B80" s="180">
        <f t="shared" si="4"/>
        <v>44927</v>
      </c>
      <c r="C80" s="197">
        <f t="shared" ref="C80:D91" si="25">+C56</f>
        <v>44960</v>
      </c>
      <c r="D80" s="197">
        <f t="shared" si="25"/>
        <v>44981</v>
      </c>
      <c r="E80" s="181" t="s">
        <v>9</v>
      </c>
      <c r="F80" s="111">
        <v>9</v>
      </c>
      <c r="G80" s="182">
        <v>53</v>
      </c>
      <c r="H80" s="183">
        <f t="shared" si="5"/>
        <v>1391.1942737059592</v>
      </c>
      <c r="I80" s="183">
        <f t="shared" si="22"/>
        <v>1371.0212071439194</v>
      </c>
      <c r="J80" s="184">
        <f t="shared" si="2"/>
        <v>72664.123978627729</v>
      </c>
      <c r="K80" s="185">
        <f t="shared" si="13"/>
        <v>73733.296506415834</v>
      </c>
      <c r="L80" s="186">
        <f t="shared" si="21"/>
        <v>-1069.1725277881051</v>
      </c>
      <c r="M80" s="187">
        <f t="shared" si="7"/>
        <v>-87.632238484308573</v>
      </c>
      <c r="N80" s="188">
        <f t="shared" si="8"/>
        <v>-1156.8047662724136</v>
      </c>
      <c r="O80" s="187">
        <f t="shared" si="9"/>
        <v>0</v>
      </c>
      <c r="P80" s="187">
        <f t="shared" si="10"/>
        <v>0</v>
      </c>
      <c r="Q80" s="187">
        <v>0</v>
      </c>
      <c r="R80" s="188">
        <f t="shared" si="11"/>
        <v>-1156.8047662724136</v>
      </c>
    </row>
    <row r="81" spans="1:18" x14ac:dyDescent="0.25">
      <c r="A81" s="145">
        <v>2</v>
      </c>
      <c r="B81" s="180">
        <f t="shared" si="4"/>
        <v>44958</v>
      </c>
      <c r="C81" s="200">
        <f t="shared" si="25"/>
        <v>44988</v>
      </c>
      <c r="D81" s="200">
        <f t="shared" si="25"/>
        <v>45009</v>
      </c>
      <c r="E81" s="189" t="s">
        <v>9</v>
      </c>
      <c r="F81" s="145">
        <v>9</v>
      </c>
      <c r="G81" s="182">
        <v>55</v>
      </c>
      <c r="H81" s="183">
        <f t="shared" si="5"/>
        <v>1391.1942737059592</v>
      </c>
      <c r="I81" s="183">
        <f t="shared" si="22"/>
        <v>1371.0212071439194</v>
      </c>
      <c r="J81" s="184">
        <f t="shared" si="2"/>
        <v>75406.166392915562</v>
      </c>
      <c r="K81" s="185">
        <f t="shared" si="13"/>
        <v>76515.68505382775</v>
      </c>
      <c r="L81" s="186">
        <f t="shared" si="21"/>
        <v>-1109.5186609121884</v>
      </c>
      <c r="M81" s="187">
        <f t="shared" si="7"/>
        <v>-90.939115408244746</v>
      </c>
      <c r="N81" s="188">
        <f t="shared" si="8"/>
        <v>-1200.4577763204331</v>
      </c>
      <c r="O81" s="187">
        <f t="shared" si="9"/>
        <v>0</v>
      </c>
      <c r="P81" s="187">
        <f t="shared" si="10"/>
        <v>0</v>
      </c>
      <c r="Q81" s="187">
        <v>0</v>
      </c>
      <c r="R81" s="188">
        <f t="shared" si="11"/>
        <v>-1200.4577763204331</v>
      </c>
    </row>
    <row r="82" spans="1:18" x14ac:dyDescent="0.25">
      <c r="A82" s="145">
        <v>3</v>
      </c>
      <c r="B82" s="180">
        <f t="shared" si="4"/>
        <v>44986</v>
      </c>
      <c r="C82" s="200">
        <f t="shared" si="25"/>
        <v>45021</v>
      </c>
      <c r="D82" s="200">
        <f t="shared" si="25"/>
        <v>45040</v>
      </c>
      <c r="E82" s="189" t="s">
        <v>9</v>
      </c>
      <c r="F82" s="145">
        <v>9</v>
      </c>
      <c r="G82" s="182">
        <v>46</v>
      </c>
      <c r="H82" s="183">
        <f t="shared" si="5"/>
        <v>1391.1942737059592</v>
      </c>
      <c r="I82" s="183">
        <f t="shared" si="22"/>
        <v>1371.0212071439194</v>
      </c>
      <c r="J82" s="184">
        <f t="shared" si="2"/>
        <v>63066.975528620293</v>
      </c>
      <c r="K82" s="185">
        <f t="shared" si="13"/>
        <v>63994.936590474121</v>
      </c>
      <c r="L82" s="186">
        <f>+J82-K82</f>
        <v>-927.96106185382814</v>
      </c>
      <c r="M82" s="187">
        <f t="shared" si="7"/>
        <v>-76.058169250531961</v>
      </c>
      <c r="N82" s="188">
        <f t="shared" si="8"/>
        <v>-1004.0192311043601</v>
      </c>
      <c r="O82" s="187">
        <f t="shared" si="9"/>
        <v>0</v>
      </c>
      <c r="P82" s="187">
        <f t="shared" si="10"/>
        <v>0</v>
      </c>
      <c r="Q82" s="187">
        <v>0</v>
      </c>
      <c r="R82" s="188">
        <f t="shared" si="11"/>
        <v>-1004.0192311043601</v>
      </c>
    </row>
    <row r="83" spans="1:18" ht="12" customHeight="1" x14ac:dyDescent="0.25">
      <c r="A83" s="111">
        <v>4</v>
      </c>
      <c r="B83" s="180">
        <f t="shared" si="4"/>
        <v>45017</v>
      </c>
      <c r="C83" s="200">
        <f t="shared" si="25"/>
        <v>45049</v>
      </c>
      <c r="D83" s="200">
        <f t="shared" si="25"/>
        <v>45070</v>
      </c>
      <c r="E83" s="52" t="s">
        <v>9</v>
      </c>
      <c r="F83" s="145">
        <v>9</v>
      </c>
      <c r="G83" s="182">
        <v>33</v>
      </c>
      <c r="H83" s="183">
        <f t="shared" si="5"/>
        <v>1391.1942737059592</v>
      </c>
      <c r="I83" s="183">
        <f t="shared" si="22"/>
        <v>1371.0212071439194</v>
      </c>
      <c r="J83" s="184">
        <f t="shared" si="2"/>
        <v>45243.699835749336</v>
      </c>
      <c r="K83" s="185">
        <f t="shared" si="13"/>
        <v>45909.411032296652</v>
      </c>
      <c r="L83" s="186">
        <f t="shared" ref="L83:L93" si="26">+J83-K83</f>
        <v>-665.71119654731592</v>
      </c>
      <c r="M83" s="187">
        <f t="shared" si="7"/>
        <v>-54.563469244946845</v>
      </c>
      <c r="N83" s="188">
        <f t="shared" si="8"/>
        <v>-720.27466579226279</v>
      </c>
      <c r="O83" s="187">
        <f t="shared" si="9"/>
        <v>0</v>
      </c>
      <c r="P83" s="187">
        <f t="shared" si="10"/>
        <v>0</v>
      </c>
      <c r="Q83" s="187">
        <v>0</v>
      </c>
      <c r="R83" s="188">
        <f t="shared" si="11"/>
        <v>-720.27466579226279</v>
      </c>
    </row>
    <row r="84" spans="1:18" ht="12" customHeight="1" x14ac:dyDescent="0.25">
      <c r="A84" s="145">
        <v>5</v>
      </c>
      <c r="B84" s="180">
        <f t="shared" si="4"/>
        <v>45047</v>
      </c>
      <c r="C84" s="200">
        <f t="shared" si="25"/>
        <v>45082</v>
      </c>
      <c r="D84" s="200">
        <f t="shared" si="25"/>
        <v>45103</v>
      </c>
      <c r="E84" s="52" t="s">
        <v>9</v>
      </c>
      <c r="F84" s="145">
        <v>9</v>
      </c>
      <c r="G84" s="182">
        <v>44</v>
      </c>
      <c r="H84" s="183">
        <f t="shared" si="5"/>
        <v>1391.1942737059592</v>
      </c>
      <c r="I84" s="183">
        <f t="shared" si="22"/>
        <v>1371.0212071439194</v>
      </c>
      <c r="J84" s="184">
        <f t="shared" si="2"/>
        <v>60324.933114332453</v>
      </c>
      <c r="K84" s="185">
        <f t="shared" si="13"/>
        <v>61212.548043062205</v>
      </c>
      <c r="L84" s="186">
        <f t="shared" si="26"/>
        <v>-887.61492872975214</v>
      </c>
      <c r="M84" s="187">
        <f t="shared" si="7"/>
        <v>-72.751292326595802</v>
      </c>
      <c r="N84" s="188">
        <f t="shared" si="8"/>
        <v>-960.36622105634797</v>
      </c>
      <c r="O84" s="187">
        <f t="shared" si="9"/>
        <v>0</v>
      </c>
      <c r="P84" s="187">
        <f t="shared" si="10"/>
        <v>0</v>
      </c>
      <c r="Q84" s="187">
        <v>0</v>
      </c>
      <c r="R84" s="188">
        <f t="shared" si="11"/>
        <v>-960.36622105634797</v>
      </c>
    </row>
    <row r="85" spans="1:18" x14ac:dyDescent="0.25">
      <c r="A85" s="145">
        <v>6</v>
      </c>
      <c r="B85" s="180">
        <f t="shared" si="4"/>
        <v>45078</v>
      </c>
      <c r="C85" s="200">
        <f t="shared" si="25"/>
        <v>45112</v>
      </c>
      <c r="D85" s="200">
        <f t="shared" si="25"/>
        <v>45131</v>
      </c>
      <c r="E85" s="52" t="s">
        <v>9</v>
      </c>
      <c r="F85" s="145">
        <v>9</v>
      </c>
      <c r="G85" s="182">
        <v>55</v>
      </c>
      <c r="H85" s="183">
        <f t="shared" ref="H85:H148" si="27">+$K$3</f>
        <v>1391.1942737059592</v>
      </c>
      <c r="I85" s="183">
        <f t="shared" si="22"/>
        <v>1371.0212071439194</v>
      </c>
      <c r="J85" s="184">
        <f t="shared" si="2"/>
        <v>75406.166392915562</v>
      </c>
      <c r="K85" s="185">
        <f t="shared" si="13"/>
        <v>76515.68505382775</v>
      </c>
      <c r="L85" s="190">
        <f t="shared" si="26"/>
        <v>-1109.5186609121884</v>
      </c>
      <c r="M85" s="187">
        <f t="shared" ref="M85:M148" si="28">G85/$G$212*$M$14</f>
        <v>-90.939115408244746</v>
      </c>
      <c r="N85" s="188">
        <f t="shared" ref="N85:N148" si="29">SUM(L85:M85)</f>
        <v>-1200.4577763204331</v>
      </c>
      <c r="O85" s="187">
        <f t="shared" ref="O85:O148" si="30">+$P$3</f>
        <v>0</v>
      </c>
      <c r="P85" s="187">
        <f t="shared" ref="P85:P148" si="31">+G85*O85</f>
        <v>0</v>
      </c>
      <c r="Q85" s="187">
        <v>0</v>
      </c>
      <c r="R85" s="188">
        <f t="shared" ref="R85:R148" si="32">+N85-Q85</f>
        <v>-1200.4577763204331</v>
      </c>
    </row>
    <row r="86" spans="1:18" x14ac:dyDescent="0.25">
      <c r="A86" s="111">
        <v>7</v>
      </c>
      <c r="B86" s="180">
        <f t="shared" si="4"/>
        <v>45108</v>
      </c>
      <c r="C86" s="200">
        <f t="shared" si="25"/>
        <v>45141</v>
      </c>
      <c r="D86" s="200">
        <f t="shared" si="25"/>
        <v>45162</v>
      </c>
      <c r="E86" s="52" t="s">
        <v>9</v>
      </c>
      <c r="F86" s="145">
        <v>9</v>
      </c>
      <c r="G86" s="182">
        <v>57</v>
      </c>
      <c r="H86" s="183">
        <f t="shared" si="27"/>
        <v>1391.1942737059592</v>
      </c>
      <c r="I86" s="183">
        <f t="shared" si="22"/>
        <v>1371.0212071439194</v>
      </c>
      <c r="J86" s="184">
        <f t="shared" si="2"/>
        <v>78148.208807203409</v>
      </c>
      <c r="K86" s="191">
        <f t="shared" si="13"/>
        <v>79298.073601239666</v>
      </c>
      <c r="L86" s="190">
        <f t="shared" si="26"/>
        <v>-1149.8647940362571</v>
      </c>
      <c r="M86" s="187">
        <f t="shared" si="28"/>
        <v>-94.245992332180919</v>
      </c>
      <c r="N86" s="188">
        <f t="shared" si="29"/>
        <v>-1244.1107863684381</v>
      </c>
      <c r="O86" s="187">
        <f t="shared" si="30"/>
        <v>0</v>
      </c>
      <c r="P86" s="187">
        <f t="shared" si="31"/>
        <v>0</v>
      </c>
      <c r="Q86" s="187">
        <v>0</v>
      </c>
      <c r="R86" s="188">
        <f t="shared" si="32"/>
        <v>-1244.1107863684381</v>
      </c>
    </row>
    <row r="87" spans="1:18" x14ac:dyDescent="0.25">
      <c r="A87" s="145">
        <v>8</v>
      </c>
      <c r="B87" s="180">
        <f t="shared" si="4"/>
        <v>45139</v>
      </c>
      <c r="C87" s="200">
        <f t="shared" si="25"/>
        <v>45174</v>
      </c>
      <c r="D87" s="200">
        <f t="shared" si="25"/>
        <v>45194</v>
      </c>
      <c r="E87" s="52" t="s">
        <v>9</v>
      </c>
      <c r="F87" s="145">
        <v>9</v>
      </c>
      <c r="G87" s="182">
        <v>56</v>
      </c>
      <c r="H87" s="183">
        <f t="shared" si="27"/>
        <v>1391.1942737059592</v>
      </c>
      <c r="I87" s="183">
        <f t="shared" si="22"/>
        <v>1371.0212071439194</v>
      </c>
      <c r="J87" s="184">
        <f t="shared" si="2"/>
        <v>76777.187600059478</v>
      </c>
      <c r="K87" s="191">
        <f t="shared" si="13"/>
        <v>77906.879327533708</v>
      </c>
      <c r="L87" s="190">
        <f t="shared" si="26"/>
        <v>-1129.69172747423</v>
      </c>
      <c r="M87" s="187">
        <f t="shared" si="28"/>
        <v>-92.592553870212825</v>
      </c>
      <c r="N87" s="188">
        <f t="shared" si="29"/>
        <v>-1222.2842813444429</v>
      </c>
      <c r="O87" s="187">
        <f t="shared" si="30"/>
        <v>0</v>
      </c>
      <c r="P87" s="187">
        <f t="shared" si="31"/>
        <v>0</v>
      </c>
      <c r="Q87" s="187">
        <v>0</v>
      </c>
      <c r="R87" s="188">
        <f t="shared" si="32"/>
        <v>-1222.2842813444429</v>
      </c>
    </row>
    <row r="88" spans="1:18" x14ac:dyDescent="0.25">
      <c r="A88" s="145">
        <v>9</v>
      </c>
      <c r="B88" s="180">
        <f t="shared" si="4"/>
        <v>45170</v>
      </c>
      <c r="C88" s="200">
        <f t="shared" si="25"/>
        <v>45203</v>
      </c>
      <c r="D88" s="200">
        <f t="shared" si="25"/>
        <v>45223</v>
      </c>
      <c r="E88" s="52" t="s">
        <v>9</v>
      </c>
      <c r="F88" s="145">
        <v>9</v>
      </c>
      <c r="G88" s="182">
        <v>60</v>
      </c>
      <c r="H88" s="183">
        <f t="shared" si="27"/>
        <v>1391.1942737059592</v>
      </c>
      <c r="I88" s="183">
        <f t="shared" si="22"/>
        <v>1371.0212071439194</v>
      </c>
      <c r="J88" s="184">
        <f t="shared" si="2"/>
        <v>82261.272428635159</v>
      </c>
      <c r="K88" s="191">
        <f t="shared" si="13"/>
        <v>83471.656422357555</v>
      </c>
      <c r="L88" s="190">
        <f t="shared" si="26"/>
        <v>-1210.3839937223966</v>
      </c>
      <c r="M88" s="187">
        <f t="shared" si="28"/>
        <v>-99.206307718085171</v>
      </c>
      <c r="N88" s="188">
        <f t="shared" si="29"/>
        <v>-1309.5903014404817</v>
      </c>
      <c r="O88" s="187">
        <f t="shared" si="30"/>
        <v>0</v>
      </c>
      <c r="P88" s="187">
        <f t="shared" si="31"/>
        <v>0</v>
      </c>
      <c r="Q88" s="187">
        <v>0</v>
      </c>
      <c r="R88" s="188">
        <f t="shared" si="32"/>
        <v>-1309.5903014404817</v>
      </c>
    </row>
    <row r="89" spans="1:18" x14ac:dyDescent="0.25">
      <c r="A89" s="111">
        <v>10</v>
      </c>
      <c r="B89" s="180">
        <f t="shared" si="4"/>
        <v>45200</v>
      </c>
      <c r="C89" s="200">
        <f t="shared" si="25"/>
        <v>45233</v>
      </c>
      <c r="D89" s="200">
        <f t="shared" si="25"/>
        <v>45254</v>
      </c>
      <c r="E89" s="52" t="s">
        <v>9</v>
      </c>
      <c r="F89" s="145">
        <v>9</v>
      </c>
      <c r="G89" s="182">
        <v>48</v>
      </c>
      <c r="H89" s="183">
        <f t="shared" si="27"/>
        <v>1391.1942737059592</v>
      </c>
      <c r="I89" s="183">
        <f t="shared" si="22"/>
        <v>1371.0212071439194</v>
      </c>
      <c r="J89" s="184">
        <f t="shared" si="2"/>
        <v>65809.017942908133</v>
      </c>
      <c r="K89" s="191">
        <f t="shared" si="13"/>
        <v>66777.325137886044</v>
      </c>
      <c r="L89" s="190">
        <f t="shared" si="26"/>
        <v>-968.30719497791142</v>
      </c>
      <c r="M89" s="187">
        <f t="shared" si="28"/>
        <v>-79.365046174468134</v>
      </c>
      <c r="N89" s="188">
        <f t="shared" si="29"/>
        <v>-1047.6722411523795</v>
      </c>
      <c r="O89" s="187">
        <f t="shared" si="30"/>
        <v>0</v>
      </c>
      <c r="P89" s="187">
        <f t="shared" si="31"/>
        <v>0</v>
      </c>
      <c r="Q89" s="187">
        <v>0</v>
      </c>
      <c r="R89" s="188">
        <f t="shared" si="32"/>
        <v>-1047.6722411523795</v>
      </c>
    </row>
    <row r="90" spans="1:18" x14ac:dyDescent="0.25">
      <c r="A90" s="145">
        <v>11</v>
      </c>
      <c r="B90" s="180">
        <f t="shared" si="4"/>
        <v>45231</v>
      </c>
      <c r="C90" s="200">
        <f t="shared" si="25"/>
        <v>45266</v>
      </c>
      <c r="D90" s="200">
        <f t="shared" si="25"/>
        <v>45285</v>
      </c>
      <c r="E90" s="52" t="s">
        <v>9</v>
      </c>
      <c r="F90" s="145">
        <v>9</v>
      </c>
      <c r="G90" s="182">
        <v>54</v>
      </c>
      <c r="H90" s="183">
        <f t="shared" si="27"/>
        <v>1391.1942737059592</v>
      </c>
      <c r="I90" s="183">
        <f t="shared" si="22"/>
        <v>1371.0212071439194</v>
      </c>
      <c r="J90" s="184">
        <f t="shared" si="2"/>
        <v>74035.145185771646</v>
      </c>
      <c r="K90" s="191">
        <f t="shared" si="13"/>
        <v>75124.490780121792</v>
      </c>
      <c r="L90" s="190">
        <f t="shared" si="26"/>
        <v>-1089.3455943501467</v>
      </c>
      <c r="M90" s="187">
        <f t="shared" si="28"/>
        <v>-89.285676946276666</v>
      </c>
      <c r="N90" s="188">
        <f t="shared" si="29"/>
        <v>-1178.6312712964234</v>
      </c>
      <c r="O90" s="187">
        <f t="shared" si="30"/>
        <v>0</v>
      </c>
      <c r="P90" s="187">
        <f t="shared" si="31"/>
        <v>0</v>
      </c>
      <c r="Q90" s="187">
        <v>0</v>
      </c>
      <c r="R90" s="188">
        <f t="shared" si="32"/>
        <v>-1178.6312712964234</v>
      </c>
    </row>
    <row r="91" spans="1:18" s="204" customFormat="1" x14ac:dyDescent="0.25">
      <c r="A91" s="145">
        <v>12</v>
      </c>
      <c r="B91" s="202">
        <f t="shared" si="4"/>
        <v>45261</v>
      </c>
      <c r="C91" s="200">
        <f t="shared" si="25"/>
        <v>45294</v>
      </c>
      <c r="D91" s="200">
        <f t="shared" si="25"/>
        <v>45315</v>
      </c>
      <c r="E91" s="203" t="s">
        <v>9</v>
      </c>
      <c r="F91" s="156">
        <v>9</v>
      </c>
      <c r="G91" s="182">
        <v>55</v>
      </c>
      <c r="H91" s="192">
        <f t="shared" si="27"/>
        <v>1391.1942737059592</v>
      </c>
      <c r="I91" s="192">
        <f t="shared" si="22"/>
        <v>1371.0212071439194</v>
      </c>
      <c r="J91" s="193">
        <f t="shared" si="2"/>
        <v>75406.166392915562</v>
      </c>
      <c r="K91" s="194">
        <f t="shared" si="13"/>
        <v>76515.68505382775</v>
      </c>
      <c r="L91" s="195">
        <f t="shared" si="26"/>
        <v>-1109.5186609121884</v>
      </c>
      <c r="M91" s="187">
        <f t="shared" si="28"/>
        <v>-90.939115408244746</v>
      </c>
      <c r="N91" s="188">
        <f t="shared" si="29"/>
        <v>-1200.4577763204331</v>
      </c>
      <c r="O91" s="187">
        <f t="shared" si="30"/>
        <v>0</v>
      </c>
      <c r="P91" s="187">
        <f t="shared" si="31"/>
        <v>0</v>
      </c>
      <c r="Q91" s="187">
        <v>0</v>
      </c>
      <c r="R91" s="188">
        <f t="shared" si="32"/>
        <v>-1200.4577763204331</v>
      </c>
    </row>
    <row r="92" spans="1:18" x14ac:dyDescent="0.25">
      <c r="A92" s="111">
        <v>1</v>
      </c>
      <c r="B92" s="180">
        <f t="shared" si="4"/>
        <v>44927</v>
      </c>
      <c r="C92" s="197">
        <f t="shared" ref="C92:D95" si="33">+C80</f>
        <v>44960</v>
      </c>
      <c r="D92" s="197">
        <f t="shared" si="33"/>
        <v>44981</v>
      </c>
      <c r="E92" s="181" t="s">
        <v>8</v>
      </c>
      <c r="F92" s="111">
        <v>9</v>
      </c>
      <c r="G92" s="182">
        <v>84</v>
      </c>
      <c r="H92" s="183">
        <f t="shared" si="27"/>
        <v>1391.1942737059592</v>
      </c>
      <c r="I92" s="183">
        <f t="shared" si="22"/>
        <v>1371.0212071439194</v>
      </c>
      <c r="J92" s="184">
        <f t="shared" si="2"/>
        <v>115165.78140008922</v>
      </c>
      <c r="K92" s="185">
        <f t="shared" si="13"/>
        <v>116860.31899130058</v>
      </c>
      <c r="L92" s="186">
        <f t="shared" si="26"/>
        <v>-1694.5375912113523</v>
      </c>
      <c r="M92" s="187">
        <f t="shared" si="28"/>
        <v>-138.88883080531923</v>
      </c>
      <c r="N92" s="188">
        <f t="shared" si="29"/>
        <v>-1833.4264220166715</v>
      </c>
      <c r="O92" s="187">
        <f t="shared" si="30"/>
        <v>0</v>
      </c>
      <c r="P92" s="187">
        <f t="shared" si="31"/>
        <v>0</v>
      </c>
      <c r="Q92" s="187">
        <v>0</v>
      </c>
      <c r="R92" s="188">
        <f t="shared" si="32"/>
        <v>-1833.4264220166715</v>
      </c>
    </row>
    <row r="93" spans="1:18" x14ac:dyDescent="0.25">
      <c r="A93" s="145">
        <v>2</v>
      </c>
      <c r="B93" s="180">
        <f t="shared" si="4"/>
        <v>44958</v>
      </c>
      <c r="C93" s="200">
        <f t="shared" si="33"/>
        <v>44988</v>
      </c>
      <c r="D93" s="200">
        <f t="shared" si="33"/>
        <v>45009</v>
      </c>
      <c r="E93" s="189" t="s">
        <v>8</v>
      </c>
      <c r="F93" s="145">
        <v>9</v>
      </c>
      <c r="G93" s="182">
        <v>83</v>
      </c>
      <c r="H93" s="183">
        <f t="shared" si="27"/>
        <v>1391.1942737059592</v>
      </c>
      <c r="I93" s="183">
        <f t="shared" si="22"/>
        <v>1371.0212071439194</v>
      </c>
      <c r="J93" s="184">
        <f t="shared" si="2"/>
        <v>113794.76019294531</v>
      </c>
      <c r="K93" s="185">
        <f t="shared" si="13"/>
        <v>115469.1247175946</v>
      </c>
      <c r="L93" s="186">
        <f t="shared" si="26"/>
        <v>-1674.3645246492961</v>
      </c>
      <c r="M93" s="187">
        <f t="shared" si="28"/>
        <v>-137.23539234335115</v>
      </c>
      <c r="N93" s="188">
        <f t="shared" si="29"/>
        <v>-1811.5999169926472</v>
      </c>
      <c r="O93" s="187">
        <f t="shared" si="30"/>
        <v>0</v>
      </c>
      <c r="P93" s="187">
        <f t="shared" si="31"/>
        <v>0</v>
      </c>
      <c r="Q93" s="187">
        <v>0</v>
      </c>
      <c r="R93" s="188">
        <f t="shared" si="32"/>
        <v>-1811.5999169926472</v>
      </c>
    </row>
    <row r="94" spans="1:18" x14ac:dyDescent="0.25">
      <c r="A94" s="145">
        <v>3</v>
      </c>
      <c r="B94" s="180">
        <f t="shared" si="4"/>
        <v>44986</v>
      </c>
      <c r="C94" s="200">
        <f t="shared" si="33"/>
        <v>45021</v>
      </c>
      <c r="D94" s="200">
        <f t="shared" si="33"/>
        <v>45040</v>
      </c>
      <c r="E94" s="189" t="s">
        <v>8</v>
      </c>
      <c r="F94" s="145">
        <v>9</v>
      </c>
      <c r="G94" s="182">
        <v>76</v>
      </c>
      <c r="H94" s="183">
        <f t="shared" si="27"/>
        <v>1391.1942737059592</v>
      </c>
      <c r="I94" s="183">
        <f t="shared" si="22"/>
        <v>1371.0212071439194</v>
      </c>
      <c r="J94" s="184">
        <f t="shared" si="2"/>
        <v>104197.61174293786</v>
      </c>
      <c r="K94" s="185">
        <f t="shared" ref="K94:K133" si="34">+$G94*H94</f>
        <v>105730.7648016529</v>
      </c>
      <c r="L94" s="186">
        <f>+J94-K94</f>
        <v>-1533.1530587150337</v>
      </c>
      <c r="M94" s="187">
        <f t="shared" si="28"/>
        <v>-125.66132310957455</v>
      </c>
      <c r="N94" s="188">
        <f t="shared" si="29"/>
        <v>-1658.8143818246083</v>
      </c>
      <c r="O94" s="187">
        <f t="shared" si="30"/>
        <v>0</v>
      </c>
      <c r="P94" s="187">
        <f t="shared" si="31"/>
        <v>0</v>
      </c>
      <c r="Q94" s="187">
        <v>0</v>
      </c>
      <c r="R94" s="188">
        <f t="shared" si="32"/>
        <v>-1658.8143818246083</v>
      </c>
    </row>
    <row r="95" spans="1:18" x14ac:dyDescent="0.25">
      <c r="A95" s="111">
        <v>4</v>
      </c>
      <c r="B95" s="180">
        <f t="shared" si="4"/>
        <v>45017</v>
      </c>
      <c r="C95" s="200">
        <f t="shared" si="33"/>
        <v>45049</v>
      </c>
      <c r="D95" s="200">
        <f t="shared" si="33"/>
        <v>45070</v>
      </c>
      <c r="E95" s="189" t="s">
        <v>8</v>
      </c>
      <c r="F95" s="145">
        <v>9</v>
      </c>
      <c r="G95" s="182">
        <v>69</v>
      </c>
      <c r="H95" s="183">
        <f t="shared" si="27"/>
        <v>1391.1942737059592</v>
      </c>
      <c r="I95" s="183">
        <f t="shared" si="22"/>
        <v>1371.0212071439194</v>
      </c>
      <c r="J95" s="184">
        <f t="shared" si="2"/>
        <v>94600.463292930435</v>
      </c>
      <c r="K95" s="185">
        <f t="shared" si="34"/>
        <v>95992.404885711177</v>
      </c>
      <c r="L95" s="186">
        <f t="shared" ref="L95:L105" si="35">+J95-K95</f>
        <v>-1391.9415927807422</v>
      </c>
      <c r="M95" s="187">
        <f t="shared" si="28"/>
        <v>-114.08725387579796</v>
      </c>
      <c r="N95" s="188">
        <f t="shared" si="29"/>
        <v>-1506.0288466565403</v>
      </c>
      <c r="O95" s="187">
        <f t="shared" si="30"/>
        <v>0</v>
      </c>
      <c r="P95" s="187">
        <f t="shared" si="31"/>
        <v>0</v>
      </c>
      <c r="Q95" s="187">
        <v>0</v>
      </c>
      <c r="R95" s="188">
        <f t="shared" si="32"/>
        <v>-1506.0288466565403</v>
      </c>
    </row>
    <row r="96" spans="1:18" x14ac:dyDescent="0.25">
      <c r="A96" s="145">
        <v>5</v>
      </c>
      <c r="B96" s="180">
        <f t="shared" si="4"/>
        <v>45047</v>
      </c>
      <c r="C96" s="200">
        <f t="shared" ref="C96:D116" si="36">+C84</f>
        <v>45082</v>
      </c>
      <c r="D96" s="200">
        <f t="shared" si="36"/>
        <v>45103</v>
      </c>
      <c r="E96" s="52" t="s">
        <v>8</v>
      </c>
      <c r="F96" s="145">
        <v>9</v>
      </c>
      <c r="G96" s="182">
        <v>99</v>
      </c>
      <c r="H96" s="183">
        <f t="shared" si="27"/>
        <v>1391.1942737059592</v>
      </c>
      <c r="I96" s="183">
        <f t="shared" si="22"/>
        <v>1371.0212071439194</v>
      </c>
      <c r="J96" s="184">
        <f t="shared" si="2"/>
        <v>135731.09950724803</v>
      </c>
      <c r="K96" s="185">
        <f t="shared" si="34"/>
        <v>137728.23309688995</v>
      </c>
      <c r="L96" s="186">
        <f t="shared" si="35"/>
        <v>-1997.1335896419187</v>
      </c>
      <c r="M96" s="187">
        <f t="shared" si="28"/>
        <v>-163.69040773484053</v>
      </c>
      <c r="N96" s="188">
        <f t="shared" si="29"/>
        <v>-2160.8239973767591</v>
      </c>
      <c r="O96" s="187">
        <f t="shared" si="30"/>
        <v>0</v>
      </c>
      <c r="P96" s="187">
        <f t="shared" si="31"/>
        <v>0</v>
      </c>
      <c r="Q96" s="187">
        <v>0</v>
      </c>
      <c r="R96" s="188">
        <f t="shared" si="32"/>
        <v>-2160.8239973767591</v>
      </c>
    </row>
    <row r="97" spans="1:18" x14ac:dyDescent="0.25">
      <c r="A97" s="145">
        <v>6</v>
      </c>
      <c r="B97" s="180">
        <f t="shared" si="4"/>
        <v>45078</v>
      </c>
      <c r="C97" s="200">
        <f t="shared" si="36"/>
        <v>45112</v>
      </c>
      <c r="D97" s="200">
        <f t="shared" si="36"/>
        <v>45131</v>
      </c>
      <c r="E97" s="52" t="s">
        <v>8</v>
      </c>
      <c r="F97" s="145">
        <v>9</v>
      </c>
      <c r="G97" s="182">
        <v>149</v>
      </c>
      <c r="H97" s="183">
        <f t="shared" si="27"/>
        <v>1391.1942737059592</v>
      </c>
      <c r="I97" s="183">
        <f t="shared" si="22"/>
        <v>1371.0212071439194</v>
      </c>
      <c r="J97" s="184">
        <f t="shared" si="2"/>
        <v>204282.15986444399</v>
      </c>
      <c r="K97" s="185">
        <f t="shared" si="34"/>
        <v>207287.94678218791</v>
      </c>
      <c r="L97" s="190">
        <f t="shared" si="35"/>
        <v>-3005.7869177439134</v>
      </c>
      <c r="M97" s="187">
        <f t="shared" si="28"/>
        <v>-246.36233083324484</v>
      </c>
      <c r="N97" s="188">
        <f t="shared" si="29"/>
        <v>-3252.1492485771582</v>
      </c>
      <c r="O97" s="187">
        <f t="shared" si="30"/>
        <v>0</v>
      </c>
      <c r="P97" s="187">
        <f t="shared" si="31"/>
        <v>0</v>
      </c>
      <c r="Q97" s="187">
        <v>0</v>
      </c>
      <c r="R97" s="188">
        <f t="shared" si="32"/>
        <v>-3252.1492485771582</v>
      </c>
    </row>
    <row r="98" spans="1:18" x14ac:dyDescent="0.25">
      <c r="A98" s="111">
        <v>7</v>
      </c>
      <c r="B98" s="180">
        <f t="shared" si="4"/>
        <v>45108</v>
      </c>
      <c r="C98" s="200">
        <f t="shared" si="36"/>
        <v>45141</v>
      </c>
      <c r="D98" s="200">
        <f t="shared" si="36"/>
        <v>45162</v>
      </c>
      <c r="E98" s="52" t="s">
        <v>8</v>
      </c>
      <c r="F98" s="145">
        <v>9</v>
      </c>
      <c r="G98" s="182">
        <v>148</v>
      </c>
      <c r="H98" s="183">
        <f t="shared" si="27"/>
        <v>1391.1942737059592</v>
      </c>
      <c r="I98" s="183">
        <f t="shared" si="22"/>
        <v>1371.0212071439194</v>
      </c>
      <c r="J98" s="184">
        <f t="shared" si="2"/>
        <v>202911.13865730006</v>
      </c>
      <c r="K98" s="191">
        <f t="shared" si="34"/>
        <v>205896.75250848196</v>
      </c>
      <c r="L98" s="190">
        <f t="shared" si="35"/>
        <v>-2985.6138511819008</v>
      </c>
      <c r="M98" s="187">
        <f t="shared" si="28"/>
        <v>-244.70889237127673</v>
      </c>
      <c r="N98" s="188">
        <f t="shared" si="29"/>
        <v>-3230.3227435531776</v>
      </c>
      <c r="O98" s="187">
        <f t="shared" si="30"/>
        <v>0</v>
      </c>
      <c r="P98" s="187">
        <f t="shared" si="31"/>
        <v>0</v>
      </c>
      <c r="Q98" s="187">
        <v>0</v>
      </c>
      <c r="R98" s="188">
        <f t="shared" si="32"/>
        <v>-3230.3227435531776</v>
      </c>
    </row>
    <row r="99" spans="1:18" x14ac:dyDescent="0.25">
      <c r="A99" s="145">
        <v>8</v>
      </c>
      <c r="B99" s="180">
        <f t="shared" si="4"/>
        <v>45139</v>
      </c>
      <c r="C99" s="200">
        <f t="shared" si="36"/>
        <v>45174</v>
      </c>
      <c r="D99" s="200">
        <f t="shared" si="36"/>
        <v>45194</v>
      </c>
      <c r="E99" s="52" t="s">
        <v>8</v>
      </c>
      <c r="F99" s="145">
        <v>9</v>
      </c>
      <c r="G99" s="182">
        <v>160</v>
      </c>
      <c r="H99" s="183">
        <f t="shared" si="27"/>
        <v>1391.1942737059592</v>
      </c>
      <c r="I99" s="183">
        <f t="shared" si="22"/>
        <v>1371.0212071439194</v>
      </c>
      <c r="J99" s="184">
        <f t="shared" si="2"/>
        <v>219363.39314302709</v>
      </c>
      <c r="K99" s="191">
        <f t="shared" si="34"/>
        <v>222591.08379295346</v>
      </c>
      <c r="L99" s="190">
        <f t="shared" si="35"/>
        <v>-3227.6906499263714</v>
      </c>
      <c r="M99" s="187">
        <f t="shared" si="28"/>
        <v>-264.55015391489377</v>
      </c>
      <c r="N99" s="188">
        <f t="shared" si="29"/>
        <v>-3492.240803841265</v>
      </c>
      <c r="O99" s="187">
        <f t="shared" si="30"/>
        <v>0</v>
      </c>
      <c r="P99" s="187">
        <f t="shared" si="31"/>
        <v>0</v>
      </c>
      <c r="Q99" s="187">
        <v>0</v>
      </c>
      <c r="R99" s="188">
        <f t="shared" si="32"/>
        <v>-3492.240803841265</v>
      </c>
    </row>
    <row r="100" spans="1:18" x14ac:dyDescent="0.25">
      <c r="A100" s="145">
        <v>9</v>
      </c>
      <c r="B100" s="180">
        <f t="shared" si="4"/>
        <v>45170</v>
      </c>
      <c r="C100" s="200">
        <f t="shared" si="36"/>
        <v>45203</v>
      </c>
      <c r="D100" s="200">
        <f t="shared" si="36"/>
        <v>45223</v>
      </c>
      <c r="E100" s="52" t="s">
        <v>8</v>
      </c>
      <c r="F100" s="145">
        <v>9</v>
      </c>
      <c r="G100" s="182">
        <v>155</v>
      </c>
      <c r="H100" s="183">
        <f t="shared" si="27"/>
        <v>1391.1942737059592</v>
      </c>
      <c r="I100" s="183">
        <f t="shared" si="22"/>
        <v>1371.0212071439194</v>
      </c>
      <c r="J100" s="184">
        <f t="shared" si="2"/>
        <v>212508.28710730749</v>
      </c>
      <c r="K100" s="191">
        <f t="shared" si="34"/>
        <v>215635.11242442369</v>
      </c>
      <c r="L100" s="190">
        <f t="shared" si="35"/>
        <v>-3126.8253171161923</v>
      </c>
      <c r="M100" s="187">
        <f t="shared" si="28"/>
        <v>-256.28296160505334</v>
      </c>
      <c r="N100" s="188">
        <f t="shared" si="29"/>
        <v>-3383.1082787212458</v>
      </c>
      <c r="O100" s="187">
        <f t="shared" si="30"/>
        <v>0</v>
      </c>
      <c r="P100" s="187">
        <f t="shared" si="31"/>
        <v>0</v>
      </c>
      <c r="Q100" s="187">
        <v>0</v>
      </c>
      <c r="R100" s="188">
        <f t="shared" si="32"/>
        <v>-3383.1082787212458</v>
      </c>
    </row>
    <row r="101" spans="1:18" x14ac:dyDescent="0.25">
      <c r="A101" s="111">
        <v>10</v>
      </c>
      <c r="B101" s="180">
        <f t="shared" si="4"/>
        <v>45200</v>
      </c>
      <c r="C101" s="200">
        <f t="shared" si="36"/>
        <v>45233</v>
      </c>
      <c r="D101" s="200">
        <f t="shared" si="36"/>
        <v>45254</v>
      </c>
      <c r="E101" s="52" t="s">
        <v>8</v>
      </c>
      <c r="F101" s="145">
        <v>9</v>
      </c>
      <c r="G101" s="182">
        <v>110</v>
      </c>
      <c r="H101" s="183">
        <f t="shared" si="27"/>
        <v>1391.1942737059592</v>
      </c>
      <c r="I101" s="183">
        <f t="shared" si="22"/>
        <v>1371.0212071439194</v>
      </c>
      <c r="J101" s="184">
        <f t="shared" si="2"/>
        <v>150812.33278583112</v>
      </c>
      <c r="K101" s="191">
        <f t="shared" si="34"/>
        <v>153031.3701076555</v>
      </c>
      <c r="L101" s="190">
        <f t="shared" si="35"/>
        <v>-2219.0373218243767</v>
      </c>
      <c r="M101" s="187">
        <f t="shared" si="28"/>
        <v>-181.87823081648949</v>
      </c>
      <c r="N101" s="188">
        <f t="shared" si="29"/>
        <v>-2400.9155526408663</v>
      </c>
      <c r="O101" s="187">
        <f t="shared" si="30"/>
        <v>0</v>
      </c>
      <c r="P101" s="187">
        <f t="shared" si="31"/>
        <v>0</v>
      </c>
      <c r="Q101" s="187">
        <v>0</v>
      </c>
      <c r="R101" s="188">
        <f t="shared" si="32"/>
        <v>-2400.9155526408663</v>
      </c>
    </row>
    <row r="102" spans="1:18" x14ac:dyDescent="0.25">
      <c r="A102" s="145">
        <v>11</v>
      </c>
      <c r="B102" s="180">
        <f t="shared" si="4"/>
        <v>45231</v>
      </c>
      <c r="C102" s="200">
        <f t="shared" si="36"/>
        <v>45266</v>
      </c>
      <c r="D102" s="200">
        <f t="shared" si="36"/>
        <v>45285</v>
      </c>
      <c r="E102" s="52" t="s">
        <v>8</v>
      </c>
      <c r="F102" s="145">
        <v>9</v>
      </c>
      <c r="G102" s="182">
        <v>70</v>
      </c>
      <c r="H102" s="183">
        <f t="shared" si="27"/>
        <v>1391.1942737059592</v>
      </c>
      <c r="I102" s="183">
        <f t="shared" si="22"/>
        <v>1371.0212071439194</v>
      </c>
      <c r="J102" s="184">
        <f t="shared" si="2"/>
        <v>95971.484500074352</v>
      </c>
      <c r="K102" s="191">
        <f t="shared" si="34"/>
        <v>97383.599159417136</v>
      </c>
      <c r="L102" s="190">
        <f t="shared" si="35"/>
        <v>-1412.1146593427839</v>
      </c>
      <c r="M102" s="187">
        <f t="shared" si="28"/>
        <v>-115.74069233776603</v>
      </c>
      <c r="N102" s="188">
        <f t="shared" si="29"/>
        <v>-1527.8553516805498</v>
      </c>
      <c r="O102" s="187">
        <f t="shared" si="30"/>
        <v>0</v>
      </c>
      <c r="P102" s="187">
        <f t="shared" si="31"/>
        <v>0</v>
      </c>
      <c r="Q102" s="187">
        <v>0</v>
      </c>
      <c r="R102" s="188">
        <f t="shared" si="32"/>
        <v>-1527.8553516805498</v>
      </c>
    </row>
    <row r="103" spans="1:18" s="204" customFormat="1" x14ac:dyDescent="0.25">
      <c r="A103" s="145">
        <v>12</v>
      </c>
      <c r="B103" s="202">
        <f t="shared" si="4"/>
        <v>45261</v>
      </c>
      <c r="C103" s="200">
        <f t="shared" si="36"/>
        <v>45294</v>
      </c>
      <c r="D103" s="200">
        <f t="shared" si="36"/>
        <v>45315</v>
      </c>
      <c r="E103" s="203" t="s">
        <v>8</v>
      </c>
      <c r="F103" s="156">
        <v>9</v>
      </c>
      <c r="G103" s="182">
        <v>66</v>
      </c>
      <c r="H103" s="192">
        <f t="shared" si="27"/>
        <v>1391.1942737059592</v>
      </c>
      <c r="I103" s="192">
        <f t="shared" si="22"/>
        <v>1371.0212071439194</v>
      </c>
      <c r="J103" s="193">
        <f t="shared" si="2"/>
        <v>90487.399671498672</v>
      </c>
      <c r="K103" s="194">
        <f t="shared" si="34"/>
        <v>91818.822064593303</v>
      </c>
      <c r="L103" s="195">
        <f t="shared" si="35"/>
        <v>-1331.4223930946318</v>
      </c>
      <c r="M103" s="187">
        <f t="shared" si="28"/>
        <v>-109.12693848989369</v>
      </c>
      <c r="N103" s="188">
        <f t="shared" si="29"/>
        <v>-1440.5493315845256</v>
      </c>
      <c r="O103" s="187">
        <f t="shared" si="30"/>
        <v>0</v>
      </c>
      <c r="P103" s="187">
        <f t="shared" si="31"/>
        <v>0</v>
      </c>
      <c r="Q103" s="187">
        <v>0</v>
      </c>
      <c r="R103" s="188">
        <f t="shared" si="32"/>
        <v>-1440.5493315845256</v>
      </c>
    </row>
    <row r="104" spans="1:18" x14ac:dyDescent="0.25">
      <c r="A104" s="111">
        <v>1</v>
      </c>
      <c r="B104" s="180">
        <f t="shared" si="4"/>
        <v>44927</v>
      </c>
      <c r="C104" s="197">
        <f t="shared" si="36"/>
        <v>44960</v>
      </c>
      <c r="D104" s="197">
        <f t="shared" si="36"/>
        <v>44981</v>
      </c>
      <c r="E104" s="181" t="s">
        <v>19</v>
      </c>
      <c r="F104" s="111">
        <v>9</v>
      </c>
      <c r="G104" s="182">
        <v>63</v>
      </c>
      <c r="H104" s="183">
        <f t="shared" si="27"/>
        <v>1391.1942737059592</v>
      </c>
      <c r="I104" s="183">
        <f t="shared" si="22"/>
        <v>1371.0212071439194</v>
      </c>
      <c r="J104" s="184">
        <f t="shared" si="2"/>
        <v>86374.336050066922</v>
      </c>
      <c r="K104" s="185">
        <f t="shared" si="34"/>
        <v>87645.239243475429</v>
      </c>
      <c r="L104" s="186">
        <f t="shared" si="35"/>
        <v>-1270.9031934085069</v>
      </c>
      <c r="M104" s="187">
        <f t="shared" si="28"/>
        <v>-104.16662310398942</v>
      </c>
      <c r="N104" s="188">
        <f t="shared" si="29"/>
        <v>-1375.0698165124963</v>
      </c>
      <c r="O104" s="187">
        <f t="shared" si="30"/>
        <v>0</v>
      </c>
      <c r="P104" s="187">
        <f t="shared" si="31"/>
        <v>0</v>
      </c>
      <c r="Q104" s="187">
        <v>0</v>
      </c>
      <c r="R104" s="188">
        <f t="shared" si="32"/>
        <v>-1375.0698165124963</v>
      </c>
    </row>
    <row r="105" spans="1:18" x14ac:dyDescent="0.25">
      <c r="A105" s="145">
        <v>2</v>
      </c>
      <c r="B105" s="180">
        <f t="shared" si="4"/>
        <v>44958</v>
      </c>
      <c r="C105" s="200">
        <f t="shared" si="36"/>
        <v>44988</v>
      </c>
      <c r="D105" s="200">
        <f t="shared" si="36"/>
        <v>45009</v>
      </c>
      <c r="E105" s="189" t="s">
        <v>19</v>
      </c>
      <c r="F105" s="145">
        <v>9</v>
      </c>
      <c r="G105" s="182">
        <v>63</v>
      </c>
      <c r="H105" s="183">
        <f t="shared" si="27"/>
        <v>1391.1942737059592</v>
      </c>
      <c r="I105" s="183">
        <f t="shared" si="22"/>
        <v>1371.0212071439194</v>
      </c>
      <c r="J105" s="184">
        <f t="shared" si="2"/>
        <v>86374.336050066922</v>
      </c>
      <c r="K105" s="185">
        <f t="shared" si="34"/>
        <v>87645.239243475429</v>
      </c>
      <c r="L105" s="186">
        <f t="shared" si="35"/>
        <v>-1270.9031934085069</v>
      </c>
      <c r="M105" s="187">
        <f t="shared" si="28"/>
        <v>-104.16662310398942</v>
      </c>
      <c r="N105" s="188">
        <f t="shared" si="29"/>
        <v>-1375.0698165124963</v>
      </c>
      <c r="O105" s="187">
        <f t="shared" si="30"/>
        <v>0</v>
      </c>
      <c r="P105" s="187">
        <f t="shared" si="31"/>
        <v>0</v>
      </c>
      <c r="Q105" s="187">
        <v>0</v>
      </c>
      <c r="R105" s="188">
        <f t="shared" si="32"/>
        <v>-1375.0698165124963</v>
      </c>
    </row>
    <row r="106" spans="1:18" x14ac:dyDescent="0.25">
      <c r="A106" s="145">
        <v>3</v>
      </c>
      <c r="B106" s="180">
        <f t="shared" si="4"/>
        <v>44986</v>
      </c>
      <c r="C106" s="200">
        <f t="shared" si="36"/>
        <v>45021</v>
      </c>
      <c r="D106" s="200">
        <f t="shared" si="36"/>
        <v>45040</v>
      </c>
      <c r="E106" s="189" t="s">
        <v>19</v>
      </c>
      <c r="F106" s="145">
        <v>9</v>
      </c>
      <c r="G106" s="182">
        <v>67</v>
      </c>
      <c r="H106" s="183">
        <f t="shared" si="27"/>
        <v>1391.1942737059592</v>
      </c>
      <c r="I106" s="183">
        <f t="shared" si="22"/>
        <v>1371.0212071439194</v>
      </c>
      <c r="J106" s="184">
        <f t="shared" si="2"/>
        <v>91858.420878642602</v>
      </c>
      <c r="K106" s="185">
        <f t="shared" si="34"/>
        <v>93210.016338299261</v>
      </c>
      <c r="L106" s="186">
        <f>+J106-K106</f>
        <v>-1351.5954596566589</v>
      </c>
      <c r="M106" s="187">
        <f t="shared" si="28"/>
        <v>-110.78037695186178</v>
      </c>
      <c r="N106" s="188">
        <f t="shared" si="29"/>
        <v>-1462.3758366085208</v>
      </c>
      <c r="O106" s="187">
        <f t="shared" si="30"/>
        <v>0</v>
      </c>
      <c r="P106" s="187">
        <f t="shared" si="31"/>
        <v>0</v>
      </c>
      <c r="Q106" s="187">
        <v>0</v>
      </c>
      <c r="R106" s="188">
        <f t="shared" si="32"/>
        <v>-1462.3758366085208</v>
      </c>
    </row>
    <row r="107" spans="1:18" x14ac:dyDescent="0.25">
      <c r="A107" s="111">
        <v>4</v>
      </c>
      <c r="B107" s="180">
        <f t="shared" si="4"/>
        <v>45017</v>
      </c>
      <c r="C107" s="200">
        <f t="shared" si="36"/>
        <v>45049</v>
      </c>
      <c r="D107" s="200">
        <f t="shared" si="36"/>
        <v>45070</v>
      </c>
      <c r="E107" s="52" t="s">
        <v>19</v>
      </c>
      <c r="F107" s="145">
        <v>9</v>
      </c>
      <c r="G107" s="182">
        <v>62</v>
      </c>
      <c r="H107" s="183">
        <f t="shared" si="27"/>
        <v>1391.1942737059592</v>
      </c>
      <c r="I107" s="183">
        <f t="shared" si="22"/>
        <v>1371.0212071439194</v>
      </c>
      <c r="J107" s="184">
        <f t="shared" si="2"/>
        <v>85003.314842923006</v>
      </c>
      <c r="K107" s="185">
        <f t="shared" si="34"/>
        <v>86254.044969769471</v>
      </c>
      <c r="L107" s="186">
        <f t="shared" ref="L107:L115" si="37">+J107-K107</f>
        <v>-1250.7301268464653</v>
      </c>
      <c r="M107" s="187">
        <f t="shared" si="28"/>
        <v>-102.51318464202134</v>
      </c>
      <c r="N107" s="188">
        <f t="shared" si="29"/>
        <v>-1353.2433114884866</v>
      </c>
      <c r="O107" s="187">
        <f t="shared" si="30"/>
        <v>0</v>
      </c>
      <c r="P107" s="187">
        <f t="shared" si="31"/>
        <v>0</v>
      </c>
      <c r="Q107" s="187">
        <v>0</v>
      </c>
      <c r="R107" s="188">
        <f t="shared" si="32"/>
        <v>-1353.2433114884866</v>
      </c>
    </row>
    <row r="108" spans="1:18" x14ac:dyDescent="0.25">
      <c r="A108" s="145">
        <v>5</v>
      </c>
      <c r="B108" s="180">
        <f t="shared" si="4"/>
        <v>45047</v>
      </c>
      <c r="C108" s="200">
        <f t="shared" si="36"/>
        <v>45082</v>
      </c>
      <c r="D108" s="200">
        <f t="shared" si="36"/>
        <v>45103</v>
      </c>
      <c r="E108" s="52" t="s">
        <v>19</v>
      </c>
      <c r="F108" s="145">
        <v>9</v>
      </c>
      <c r="G108" s="182">
        <v>51</v>
      </c>
      <c r="H108" s="183">
        <f t="shared" si="27"/>
        <v>1391.1942737059592</v>
      </c>
      <c r="I108" s="183">
        <f t="shared" ref="I108:I127" si="38">$J$3</f>
        <v>1371.0212071439194</v>
      </c>
      <c r="J108" s="184">
        <f t="shared" si="2"/>
        <v>69922.081564339882</v>
      </c>
      <c r="K108" s="185">
        <f t="shared" si="34"/>
        <v>70950.907959003918</v>
      </c>
      <c r="L108" s="186">
        <f t="shared" si="37"/>
        <v>-1028.8263946640363</v>
      </c>
      <c r="M108" s="187">
        <f t="shared" si="28"/>
        <v>-84.325361560372386</v>
      </c>
      <c r="N108" s="188">
        <f t="shared" si="29"/>
        <v>-1113.1517562244087</v>
      </c>
      <c r="O108" s="187">
        <f t="shared" si="30"/>
        <v>0</v>
      </c>
      <c r="P108" s="187">
        <f t="shared" si="31"/>
        <v>0</v>
      </c>
      <c r="Q108" s="187">
        <v>0</v>
      </c>
      <c r="R108" s="188">
        <f t="shared" si="32"/>
        <v>-1113.1517562244087</v>
      </c>
    </row>
    <row r="109" spans="1:18" x14ac:dyDescent="0.25">
      <c r="A109" s="145">
        <v>6</v>
      </c>
      <c r="B109" s="180">
        <f t="shared" ref="B109:B148" si="39">DATE($R$1,A109,1)</f>
        <v>45078</v>
      </c>
      <c r="C109" s="200">
        <f t="shared" si="36"/>
        <v>45112</v>
      </c>
      <c r="D109" s="200">
        <f t="shared" si="36"/>
        <v>45131</v>
      </c>
      <c r="E109" s="52" t="s">
        <v>19</v>
      </c>
      <c r="F109" s="145">
        <v>9</v>
      </c>
      <c r="G109" s="182">
        <v>67</v>
      </c>
      <c r="H109" s="183">
        <f t="shared" si="27"/>
        <v>1391.1942737059592</v>
      </c>
      <c r="I109" s="183">
        <f t="shared" si="38"/>
        <v>1371.0212071439194</v>
      </c>
      <c r="J109" s="184">
        <f t="shared" ref="J109:J148" si="40">+$G109*I109</f>
        <v>91858.420878642602</v>
      </c>
      <c r="K109" s="185">
        <f t="shared" si="34"/>
        <v>93210.016338299261</v>
      </c>
      <c r="L109" s="190">
        <f t="shared" si="37"/>
        <v>-1351.5954596566589</v>
      </c>
      <c r="M109" s="187">
        <f t="shared" si="28"/>
        <v>-110.78037695186178</v>
      </c>
      <c r="N109" s="188">
        <f t="shared" si="29"/>
        <v>-1462.3758366085208</v>
      </c>
      <c r="O109" s="187">
        <f t="shared" si="30"/>
        <v>0</v>
      </c>
      <c r="P109" s="187">
        <f t="shared" si="31"/>
        <v>0</v>
      </c>
      <c r="Q109" s="187">
        <v>0</v>
      </c>
      <c r="R109" s="188">
        <f t="shared" si="32"/>
        <v>-1462.3758366085208</v>
      </c>
    </row>
    <row r="110" spans="1:18" x14ac:dyDescent="0.25">
      <c r="A110" s="111">
        <v>7</v>
      </c>
      <c r="B110" s="180">
        <f t="shared" si="39"/>
        <v>45108</v>
      </c>
      <c r="C110" s="200">
        <f t="shared" si="36"/>
        <v>45141</v>
      </c>
      <c r="D110" s="200">
        <f t="shared" si="36"/>
        <v>45162</v>
      </c>
      <c r="E110" s="52" t="s">
        <v>19</v>
      </c>
      <c r="F110" s="145">
        <v>9</v>
      </c>
      <c r="G110" s="182">
        <v>66</v>
      </c>
      <c r="H110" s="183">
        <f t="shared" si="27"/>
        <v>1391.1942737059592</v>
      </c>
      <c r="I110" s="183">
        <f t="shared" si="38"/>
        <v>1371.0212071439194</v>
      </c>
      <c r="J110" s="184">
        <f t="shared" si="40"/>
        <v>90487.399671498672</v>
      </c>
      <c r="K110" s="191">
        <f t="shared" si="34"/>
        <v>91818.822064593303</v>
      </c>
      <c r="L110" s="190">
        <f t="shared" si="37"/>
        <v>-1331.4223930946318</v>
      </c>
      <c r="M110" s="187">
        <f t="shared" si="28"/>
        <v>-109.12693848989369</v>
      </c>
      <c r="N110" s="188">
        <f t="shared" si="29"/>
        <v>-1440.5493315845256</v>
      </c>
      <c r="O110" s="187">
        <f t="shared" si="30"/>
        <v>0</v>
      </c>
      <c r="P110" s="187">
        <f t="shared" si="31"/>
        <v>0</v>
      </c>
      <c r="Q110" s="187">
        <v>0</v>
      </c>
      <c r="R110" s="188">
        <f t="shared" si="32"/>
        <v>-1440.5493315845256</v>
      </c>
    </row>
    <row r="111" spans="1:18" x14ac:dyDescent="0.25">
      <c r="A111" s="145">
        <v>8</v>
      </c>
      <c r="B111" s="180">
        <f t="shared" si="39"/>
        <v>45139</v>
      </c>
      <c r="C111" s="200">
        <f t="shared" si="36"/>
        <v>45174</v>
      </c>
      <c r="D111" s="200">
        <f t="shared" si="36"/>
        <v>45194</v>
      </c>
      <c r="E111" s="52" t="s">
        <v>19</v>
      </c>
      <c r="F111" s="145">
        <v>9</v>
      </c>
      <c r="G111" s="182">
        <v>61</v>
      </c>
      <c r="H111" s="183">
        <f t="shared" si="27"/>
        <v>1391.1942737059592</v>
      </c>
      <c r="I111" s="183">
        <f t="shared" si="38"/>
        <v>1371.0212071439194</v>
      </c>
      <c r="J111" s="184">
        <f t="shared" si="40"/>
        <v>83632.293635779075</v>
      </c>
      <c r="K111" s="191">
        <f t="shared" si="34"/>
        <v>84862.850696063513</v>
      </c>
      <c r="L111" s="190">
        <f t="shared" si="37"/>
        <v>-1230.5570602844382</v>
      </c>
      <c r="M111" s="187">
        <f t="shared" si="28"/>
        <v>-100.85974618005325</v>
      </c>
      <c r="N111" s="188">
        <f t="shared" si="29"/>
        <v>-1331.4168064644914</v>
      </c>
      <c r="O111" s="187">
        <f t="shared" si="30"/>
        <v>0</v>
      </c>
      <c r="P111" s="187">
        <f t="shared" si="31"/>
        <v>0</v>
      </c>
      <c r="Q111" s="187">
        <v>0</v>
      </c>
      <c r="R111" s="188">
        <f t="shared" si="32"/>
        <v>-1331.4168064644914</v>
      </c>
    </row>
    <row r="112" spans="1:18" x14ac:dyDescent="0.25">
      <c r="A112" s="145">
        <v>9</v>
      </c>
      <c r="B112" s="180">
        <f t="shared" si="39"/>
        <v>45170</v>
      </c>
      <c r="C112" s="200">
        <f t="shared" si="36"/>
        <v>45203</v>
      </c>
      <c r="D112" s="200">
        <f t="shared" si="36"/>
        <v>45223</v>
      </c>
      <c r="E112" s="52" t="s">
        <v>19</v>
      </c>
      <c r="F112" s="145">
        <v>9</v>
      </c>
      <c r="G112" s="182">
        <v>55</v>
      </c>
      <c r="H112" s="183">
        <f t="shared" si="27"/>
        <v>1391.1942737059592</v>
      </c>
      <c r="I112" s="183">
        <f t="shared" si="38"/>
        <v>1371.0212071439194</v>
      </c>
      <c r="J112" s="184">
        <f t="shared" si="40"/>
        <v>75406.166392915562</v>
      </c>
      <c r="K112" s="191">
        <f t="shared" si="34"/>
        <v>76515.68505382775</v>
      </c>
      <c r="L112" s="190">
        <f t="shared" si="37"/>
        <v>-1109.5186609121884</v>
      </c>
      <c r="M112" s="187">
        <f t="shared" si="28"/>
        <v>-90.939115408244746</v>
      </c>
      <c r="N112" s="188">
        <f t="shared" si="29"/>
        <v>-1200.4577763204331</v>
      </c>
      <c r="O112" s="187">
        <f t="shared" si="30"/>
        <v>0</v>
      </c>
      <c r="P112" s="187">
        <f t="shared" si="31"/>
        <v>0</v>
      </c>
      <c r="Q112" s="187">
        <v>0</v>
      </c>
      <c r="R112" s="188">
        <f t="shared" si="32"/>
        <v>-1200.4577763204331</v>
      </c>
    </row>
    <row r="113" spans="1:18" x14ac:dyDescent="0.25">
      <c r="A113" s="111">
        <v>10</v>
      </c>
      <c r="B113" s="180">
        <f t="shared" si="39"/>
        <v>45200</v>
      </c>
      <c r="C113" s="200">
        <f t="shared" si="36"/>
        <v>45233</v>
      </c>
      <c r="D113" s="200">
        <f t="shared" si="36"/>
        <v>45254</v>
      </c>
      <c r="E113" s="52" t="s">
        <v>19</v>
      </c>
      <c r="F113" s="145">
        <v>9</v>
      </c>
      <c r="G113" s="182">
        <v>59</v>
      </c>
      <c r="H113" s="183">
        <f t="shared" si="27"/>
        <v>1391.1942737059592</v>
      </c>
      <c r="I113" s="183">
        <f t="shared" si="38"/>
        <v>1371.0212071439194</v>
      </c>
      <c r="J113" s="184">
        <f t="shared" si="40"/>
        <v>80890.251221491242</v>
      </c>
      <c r="K113" s="191">
        <f t="shared" si="34"/>
        <v>82080.462148651597</v>
      </c>
      <c r="L113" s="190">
        <f t="shared" si="37"/>
        <v>-1190.2109271603549</v>
      </c>
      <c r="M113" s="187">
        <f t="shared" si="28"/>
        <v>-97.552869256117077</v>
      </c>
      <c r="N113" s="188">
        <f t="shared" si="29"/>
        <v>-1287.7637964164719</v>
      </c>
      <c r="O113" s="187">
        <f t="shared" si="30"/>
        <v>0</v>
      </c>
      <c r="P113" s="187">
        <f t="shared" si="31"/>
        <v>0</v>
      </c>
      <c r="Q113" s="187">
        <v>0</v>
      </c>
      <c r="R113" s="188">
        <f t="shared" si="32"/>
        <v>-1287.7637964164719</v>
      </c>
    </row>
    <row r="114" spans="1:18" x14ac:dyDescent="0.25">
      <c r="A114" s="145">
        <v>11</v>
      </c>
      <c r="B114" s="180">
        <f t="shared" si="39"/>
        <v>45231</v>
      </c>
      <c r="C114" s="200">
        <f t="shared" si="36"/>
        <v>45266</v>
      </c>
      <c r="D114" s="200">
        <f t="shared" si="36"/>
        <v>45285</v>
      </c>
      <c r="E114" s="52" t="s">
        <v>19</v>
      </c>
      <c r="F114" s="145">
        <v>9</v>
      </c>
      <c r="G114" s="182">
        <v>63</v>
      </c>
      <c r="H114" s="183">
        <f t="shared" si="27"/>
        <v>1391.1942737059592</v>
      </c>
      <c r="I114" s="183">
        <f t="shared" si="38"/>
        <v>1371.0212071439194</v>
      </c>
      <c r="J114" s="184">
        <f t="shared" si="40"/>
        <v>86374.336050066922</v>
      </c>
      <c r="K114" s="191">
        <f t="shared" si="34"/>
        <v>87645.239243475429</v>
      </c>
      <c r="L114" s="190">
        <f t="shared" si="37"/>
        <v>-1270.9031934085069</v>
      </c>
      <c r="M114" s="187">
        <f t="shared" si="28"/>
        <v>-104.16662310398942</v>
      </c>
      <c r="N114" s="188">
        <f t="shared" si="29"/>
        <v>-1375.0698165124963</v>
      </c>
      <c r="O114" s="187">
        <f t="shared" si="30"/>
        <v>0</v>
      </c>
      <c r="P114" s="187">
        <f t="shared" si="31"/>
        <v>0</v>
      </c>
      <c r="Q114" s="187">
        <v>0</v>
      </c>
      <c r="R114" s="188">
        <f t="shared" si="32"/>
        <v>-1375.0698165124963</v>
      </c>
    </row>
    <row r="115" spans="1:18" s="204" customFormat="1" x14ac:dyDescent="0.25">
      <c r="A115" s="145">
        <v>12</v>
      </c>
      <c r="B115" s="202">
        <f t="shared" si="39"/>
        <v>45261</v>
      </c>
      <c r="C115" s="205">
        <f t="shared" si="36"/>
        <v>45294</v>
      </c>
      <c r="D115" s="205">
        <f t="shared" si="36"/>
        <v>45315</v>
      </c>
      <c r="E115" s="203" t="s">
        <v>19</v>
      </c>
      <c r="F115" s="156">
        <v>9</v>
      </c>
      <c r="G115" s="182">
        <v>63</v>
      </c>
      <c r="H115" s="192">
        <f t="shared" si="27"/>
        <v>1391.1942737059592</v>
      </c>
      <c r="I115" s="192">
        <f t="shared" si="38"/>
        <v>1371.0212071439194</v>
      </c>
      <c r="J115" s="193">
        <f t="shared" si="40"/>
        <v>86374.336050066922</v>
      </c>
      <c r="K115" s="194">
        <f t="shared" si="34"/>
        <v>87645.239243475429</v>
      </c>
      <c r="L115" s="195">
        <f t="shared" si="37"/>
        <v>-1270.9031934085069</v>
      </c>
      <c r="M115" s="187">
        <f t="shared" si="28"/>
        <v>-104.16662310398942</v>
      </c>
      <c r="N115" s="188">
        <f t="shared" si="29"/>
        <v>-1375.0698165124963</v>
      </c>
      <c r="O115" s="187">
        <f t="shared" si="30"/>
        <v>0</v>
      </c>
      <c r="P115" s="187">
        <f t="shared" si="31"/>
        <v>0</v>
      </c>
      <c r="Q115" s="187">
        <v>0</v>
      </c>
      <c r="R115" s="188">
        <f t="shared" si="32"/>
        <v>-1375.0698165124963</v>
      </c>
    </row>
    <row r="116" spans="1:18" x14ac:dyDescent="0.25">
      <c r="A116" s="111">
        <v>1</v>
      </c>
      <c r="B116" s="180">
        <f t="shared" si="39"/>
        <v>44927</v>
      </c>
      <c r="C116" s="200">
        <f t="shared" si="36"/>
        <v>44960</v>
      </c>
      <c r="D116" s="200">
        <f t="shared" si="36"/>
        <v>44981</v>
      </c>
      <c r="E116" s="181" t="s">
        <v>13</v>
      </c>
      <c r="F116" s="111">
        <v>9</v>
      </c>
      <c r="G116" s="182">
        <v>967</v>
      </c>
      <c r="H116" s="183">
        <f t="shared" si="27"/>
        <v>1391.1942737059592</v>
      </c>
      <c r="I116" s="183">
        <f t="shared" si="38"/>
        <v>1371.0212071439194</v>
      </c>
      <c r="J116" s="184">
        <f t="shared" si="40"/>
        <v>1325777.50730817</v>
      </c>
      <c r="K116" s="185">
        <f t="shared" si="34"/>
        <v>1345284.8626736626</v>
      </c>
      <c r="L116" s="186">
        <f>+J116-K116</f>
        <v>-19507.355365492636</v>
      </c>
      <c r="M116" s="187">
        <f t="shared" si="28"/>
        <v>-1598.8749927231393</v>
      </c>
      <c r="N116" s="188">
        <f t="shared" si="29"/>
        <v>-21106.230358215777</v>
      </c>
      <c r="O116" s="187">
        <f t="shared" si="30"/>
        <v>0</v>
      </c>
      <c r="P116" s="187">
        <f t="shared" si="31"/>
        <v>0</v>
      </c>
      <c r="Q116" s="187">
        <v>0</v>
      </c>
      <c r="R116" s="188">
        <f t="shared" si="32"/>
        <v>-21106.230358215777</v>
      </c>
    </row>
    <row r="117" spans="1:18" x14ac:dyDescent="0.25">
      <c r="A117" s="145">
        <v>2</v>
      </c>
      <c r="B117" s="180">
        <f t="shared" si="39"/>
        <v>44958</v>
      </c>
      <c r="C117" s="200">
        <f t="shared" ref="C117:D139" si="41">+C105</f>
        <v>44988</v>
      </c>
      <c r="D117" s="200">
        <f t="shared" si="41"/>
        <v>45009</v>
      </c>
      <c r="E117" s="189" t="s">
        <v>13</v>
      </c>
      <c r="F117" s="145">
        <v>9</v>
      </c>
      <c r="G117" s="182">
        <v>955</v>
      </c>
      <c r="H117" s="183">
        <f t="shared" si="27"/>
        <v>1391.1942737059592</v>
      </c>
      <c r="I117" s="183">
        <f t="shared" si="38"/>
        <v>1371.0212071439194</v>
      </c>
      <c r="J117" s="184">
        <f t="shared" si="40"/>
        <v>1309325.2528224429</v>
      </c>
      <c r="K117" s="185">
        <f t="shared" si="34"/>
        <v>1328590.531389191</v>
      </c>
      <c r="L117" s="186">
        <f>+J117-K117</f>
        <v>-19265.278566748137</v>
      </c>
      <c r="M117" s="187">
        <f t="shared" si="28"/>
        <v>-1579.0337311795224</v>
      </c>
      <c r="N117" s="188">
        <f t="shared" si="29"/>
        <v>-20844.31229792766</v>
      </c>
      <c r="O117" s="187">
        <f t="shared" si="30"/>
        <v>0</v>
      </c>
      <c r="P117" s="187">
        <f t="shared" si="31"/>
        <v>0</v>
      </c>
      <c r="Q117" s="187">
        <v>0</v>
      </c>
      <c r="R117" s="188">
        <f t="shared" si="32"/>
        <v>-20844.31229792766</v>
      </c>
    </row>
    <row r="118" spans="1:18" x14ac:dyDescent="0.25">
      <c r="A118" s="145">
        <v>3</v>
      </c>
      <c r="B118" s="180">
        <f t="shared" si="39"/>
        <v>44986</v>
      </c>
      <c r="C118" s="200">
        <f t="shared" si="41"/>
        <v>45021</v>
      </c>
      <c r="D118" s="200">
        <f t="shared" si="41"/>
        <v>45040</v>
      </c>
      <c r="E118" s="189" t="s">
        <v>13</v>
      </c>
      <c r="F118" s="145">
        <v>9</v>
      </c>
      <c r="G118" s="182">
        <v>872</v>
      </c>
      <c r="H118" s="183">
        <f t="shared" si="27"/>
        <v>1391.1942737059592</v>
      </c>
      <c r="I118" s="183">
        <f t="shared" si="38"/>
        <v>1371.0212071439194</v>
      </c>
      <c r="J118" s="184">
        <f t="shared" si="40"/>
        <v>1195530.4926294978</v>
      </c>
      <c r="K118" s="185">
        <f t="shared" si="34"/>
        <v>1213121.4066715965</v>
      </c>
      <c r="L118" s="186">
        <f>+J118-K118</f>
        <v>-17590.914042098681</v>
      </c>
      <c r="M118" s="187">
        <f t="shared" si="28"/>
        <v>-1441.7983388361711</v>
      </c>
      <c r="N118" s="188">
        <f t="shared" si="29"/>
        <v>-19032.712380934852</v>
      </c>
      <c r="O118" s="187">
        <f t="shared" si="30"/>
        <v>0</v>
      </c>
      <c r="P118" s="187">
        <f t="shared" si="31"/>
        <v>0</v>
      </c>
      <c r="Q118" s="187">
        <v>0</v>
      </c>
      <c r="R118" s="188">
        <f t="shared" si="32"/>
        <v>-19032.712380934852</v>
      </c>
    </row>
    <row r="119" spans="1:18" x14ac:dyDescent="0.25">
      <c r="A119" s="111">
        <v>4</v>
      </c>
      <c r="B119" s="180">
        <f t="shared" si="39"/>
        <v>45017</v>
      </c>
      <c r="C119" s="200">
        <f t="shared" si="41"/>
        <v>45049</v>
      </c>
      <c r="D119" s="200">
        <f t="shared" si="41"/>
        <v>45070</v>
      </c>
      <c r="E119" s="52" t="s">
        <v>13</v>
      </c>
      <c r="F119" s="145">
        <v>9</v>
      </c>
      <c r="G119" s="182">
        <v>602</v>
      </c>
      <c r="H119" s="183">
        <f t="shared" si="27"/>
        <v>1391.1942737059592</v>
      </c>
      <c r="I119" s="183">
        <f t="shared" si="38"/>
        <v>1371.0212071439194</v>
      </c>
      <c r="J119" s="184">
        <f t="shared" si="40"/>
        <v>825354.76670063951</v>
      </c>
      <c r="K119" s="185">
        <f t="shared" si="34"/>
        <v>837498.95277098741</v>
      </c>
      <c r="L119" s="186">
        <f t="shared" ref="L119:L127" si="42">+J119-K119</f>
        <v>-12144.186070347903</v>
      </c>
      <c r="M119" s="187">
        <f t="shared" si="28"/>
        <v>-995.36995410478789</v>
      </c>
      <c r="N119" s="188">
        <f t="shared" si="29"/>
        <v>-13139.556024452691</v>
      </c>
      <c r="O119" s="187">
        <f t="shared" si="30"/>
        <v>0</v>
      </c>
      <c r="P119" s="187">
        <f t="shared" si="31"/>
        <v>0</v>
      </c>
      <c r="Q119" s="187">
        <v>0</v>
      </c>
      <c r="R119" s="188">
        <f t="shared" si="32"/>
        <v>-13139.556024452691</v>
      </c>
    </row>
    <row r="120" spans="1:18" x14ac:dyDescent="0.25">
      <c r="A120" s="145">
        <v>5</v>
      </c>
      <c r="B120" s="180">
        <f t="shared" si="39"/>
        <v>45047</v>
      </c>
      <c r="C120" s="200">
        <f t="shared" si="41"/>
        <v>45082</v>
      </c>
      <c r="D120" s="200">
        <f t="shared" si="41"/>
        <v>45103</v>
      </c>
      <c r="E120" s="52" t="s">
        <v>13</v>
      </c>
      <c r="F120" s="145">
        <v>9</v>
      </c>
      <c r="G120" s="182">
        <v>711</v>
      </c>
      <c r="H120" s="183">
        <f t="shared" si="27"/>
        <v>1391.1942737059592</v>
      </c>
      <c r="I120" s="183">
        <f t="shared" si="38"/>
        <v>1371.0212071439194</v>
      </c>
      <c r="J120" s="184">
        <f t="shared" si="40"/>
        <v>974796.07827932667</v>
      </c>
      <c r="K120" s="185">
        <f t="shared" si="34"/>
        <v>989139.128604937</v>
      </c>
      <c r="L120" s="186">
        <f t="shared" si="42"/>
        <v>-14343.050325610326</v>
      </c>
      <c r="M120" s="187">
        <f t="shared" si="28"/>
        <v>-1175.5947464593091</v>
      </c>
      <c r="N120" s="188">
        <f t="shared" si="29"/>
        <v>-15518.645072069634</v>
      </c>
      <c r="O120" s="187">
        <f t="shared" si="30"/>
        <v>0</v>
      </c>
      <c r="P120" s="187">
        <f t="shared" si="31"/>
        <v>0</v>
      </c>
      <c r="Q120" s="187">
        <v>0</v>
      </c>
      <c r="R120" s="188">
        <f t="shared" si="32"/>
        <v>-15518.645072069634</v>
      </c>
    </row>
    <row r="121" spans="1:18" x14ac:dyDescent="0.25">
      <c r="A121" s="145">
        <v>6</v>
      </c>
      <c r="B121" s="180">
        <f t="shared" si="39"/>
        <v>45078</v>
      </c>
      <c r="C121" s="200">
        <f t="shared" si="41"/>
        <v>45112</v>
      </c>
      <c r="D121" s="200">
        <f t="shared" si="41"/>
        <v>45131</v>
      </c>
      <c r="E121" s="52" t="s">
        <v>13</v>
      </c>
      <c r="F121" s="145">
        <v>9</v>
      </c>
      <c r="G121" s="182">
        <v>936</v>
      </c>
      <c r="H121" s="183">
        <f t="shared" si="27"/>
        <v>1391.1942737059592</v>
      </c>
      <c r="I121" s="183">
        <f t="shared" si="38"/>
        <v>1371.0212071439194</v>
      </c>
      <c r="J121" s="184">
        <f t="shared" si="40"/>
        <v>1283275.8498867084</v>
      </c>
      <c r="K121" s="185">
        <f t="shared" si="34"/>
        <v>1302157.8401887778</v>
      </c>
      <c r="L121" s="190">
        <f t="shared" si="42"/>
        <v>-18881.990302069345</v>
      </c>
      <c r="M121" s="187">
        <f t="shared" si="28"/>
        <v>-1547.6184004021288</v>
      </c>
      <c r="N121" s="188">
        <f t="shared" si="29"/>
        <v>-20429.608702471472</v>
      </c>
      <c r="O121" s="187">
        <f t="shared" si="30"/>
        <v>0</v>
      </c>
      <c r="P121" s="187">
        <f t="shared" si="31"/>
        <v>0</v>
      </c>
      <c r="Q121" s="187">
        <v>0</v>
      </c>
      <c r="R121" s="188">
        <f t="shared" si="32"/>
        <v>-20429.608702471472</v>
      </c>
    </row>
    <row r="122" spans="1:18" x14ac:dyDescent="0.25">
      <c r="A122" s="111">
        <v>7</v>
      </c>
      <c r="B122" s="180">
        <f t="shared" si="39"/>
        <v>45108</v>
      </c>
      <c r="C122" s="200">
        <f t="shared" si="41"/>
        <v>45141</v>
      </c>
      <c r="D122" s="200">
        <f t="shared" si="41"/>
        <v>45162</v>
      </c>
      <c r="E122" s="52" t="s">
        <v>13</v>
      </c>
      <c r="F122" s="145">
        <v>9</v>
      </c>
      <c r="G122" s="182">
        <v>932</v>
      </c>
      <c r="H122" s="183">
        <f t="shared" si="27"/>
        <v>1391.1942737059592</v>
      </c>
      <c r="I122" s="183">
        <f t="shared" si="38"/>
        <v>1371.0212071439194</v>
      </c>
      <c r="J122" s="184">
        <f t="shared" si="40"/>
        <v>1277791.7650581328</v>
      </c>
      <c r="K122" s="191">
        <f t="shared" si="34"/>
        <v>1296593.063093954</v>
      </c>
      <c r="L122" s="190">
        <f t="shared" si="42"/>
        <v>-18801.298035821179</v>
      </c>
      <c r="M122" s="187">
        <f t="shared" si="28"/>
        <v>-1541.0046465542564</v>
      </c>
      <c r="N122" s="188">
        <f t="shared" si="29"/>
        <v>-20342.302682375434</v>
      </c>
      <c r="O122" s="187">
        <f t="shared" si="30"/>
        <v>0</v>
      </c>
      <c r="P122" s="187">
        <f t="shared" si="31"/>
        <v>0</v>
      </c>
      <c r="Q122" s="187">
        <v>0</v>
      </c>
      <c r="R122" s="188">
        <f t="shared" si="32"/>
        <v>-20342.302682375434</v>
      </c>
    </row>
    <row r="123" spans="1:18" x14ac:dyDescent="0.25">
      <c r="A123" s="145">
        <v>8</v>
      </c>
      <c r="B123" s="180">
        <f t="shared" si="39"/>
        <v>45139</v>
      </c>
      <c r="C123" s="200">
        <f t="shared" si="41"/>
        <v>45174</v>
      </c>
      <c r="D123" s="200">
        <f t="shared" si="41"/>
        <v>45194</v>
      </c>
      <c r="E123" s="52" t="s">
        <v>13</v>
      </c>
      <c r="F123" s="145">
        <v>9</v>
      </c>
      <c r="G123" s="182">
        <v>1025</v>
      </c>
      <c r="H123" s="183">
        <f t="shared" si="27"/>
        <v>1391.1942737059592</v>
      </c>
      <c r="I123" s="183">
        <f t="shared" si="38"/>
        <v>1371.0212071439194</v>
      </c>
      <c r="J123" s="184">
        <f t="shared" si="40"/>
        <v>1405296.7373225174</v>
      </c>
      <c r="K123" s="191">
        <f t="shared" si="34"/>
        <v>1425974.1305486083</v>
      </c>
      <c r="L123" s="190">
        <f t="shared" si="42"/>
        <v>-20677.393226090819</v>
      </c>
      <c r="M123" s="187">
        <f t="shared" si="28"/>
        <v>-1694.7744235172884</v>
      </c>
      <c r="N123" s="188">
        <f t="shared" si="29"/>
        <v>-22372.167649608105</v>
      </c>
      <c r="O123" s="187">
        <f t="shared" si="30"/>
        <v>0</v>
      </c>
      <c r="P123" s="187">
        <f t="shared" si="31"/>
        <v>0</v>
      </c>
      <c r="Q123" s="187">
        <v>0</v>
      </c>
      <c r="R123" s="188">
        <f t="shared" si="32"/>
        <v>-22372.167649608105</v>
      </c>
    </row>
    <row r="124" spans="1:18" x14ac:dyDescent="0.25">
      <c r="A124" s="145">
        <v>9</v>
      </c>
      <c r="B124" s="180">
        <f t="shared" si="39"/>
        <v>45170</v>
      </c>
      <c r="C124" s="200">
        <f t="shared" si="41"/>
        <v>45203</v>
      </c>
      <c r="D124" s="200">
        <f t="shared" si="41"/>
        <v>45223</v>
      </c>
      <c r="E124" s="52" t="s">
        <v>13</v>
      </c>
      <c r="F124" s="145">
        <v>9</v>
      </c>
      <c r="G124" s="182">
        <v>934</v>
      </c>
      <c r="H124" s="183">
        <f t="shared" si="27"/>
        <v>1391.1942737059592</v>
      </c>
      <c r="I124" s="183">
        <f t="shared" si="38"/>
        <v>1371.0212071439194</v>
      </c>
      <c r="J124" s="184">
        <f t="shared" si="40"/>
        <v>1280533.8074724206</v>
      </c>
      <c r="K124" s="191">
        <f t="shared" si="34"/>
        <v>1299375.4516413659</v>
      </c>
      <c r="L124" s="190">
        <f t="shared" si="42"/>
        <v>-18841.644168945262</v>
      </c>
      <c r="M124" s="187">
        <f t="shared" si="28"/>
        <v>-1544.3115234781924</v>
      </c>
      <c r="N124" s="188">
        <f t="shared" si="29"/>
        <v>-20385.955692423453</v>
      </c>
      <c r="O124" s="187">
        <f t="shared" si="30"/>
        <v>0</v>
      </c>
      <c r="P124" s="187">
        <f t="shared" si="31"/>
        <v>0</v>
      </c>
      <c r="Q124" s="187">
        <v>0</v>
      </c>
      <c r="R124" s="188">
        <f t="shared" si="32"/>
        <v>-20385.955692423453</v>
      </c>
    </row>
    <row r="125" spans="1:18" x14ac:dyDescent="0.25">
      <c r="A125" s="111">
        <v>10</v>
      </c>
      <c r="B125" s="180">
        <f t="shared" si="39"/>
        <v>45200</v>
      </c>
      <c r="C125" s="200">
        <f t="shared" si="41"/>
        <v>45233</v>
      </c>
      <c r="D125" s="200">
        <f t="shared" si="41"/>
        <v>45254</v>
      </c>
      <c r="E125" s="52" t="s">
        <v>13</v>
      </c>
      <c r="F125" s="145">
        <v>9</v>
      </c>
      <c r="G125" s="182">
        <v>700</v>
      </c>
      <c r="H125" s="183">
        <f t="shared" si="27"/>
        <v>1391.1942737059592</v>
      </c>
      <c r="I125" s="183">
        <f t="shared" si="38"/>
        <v>1371.0212071439194</v>
      </c>
      <c r="J125" s="184">
        <f t="shared" si="40"/>
        <v>959714.84500074352</v>
      </c>
      <c r="K125" s="191">
        <f t="shared" si="34"/>
        <v>973835.99159417138</v>
      </c>
      <c r="L125" s="190">
        <f t="shared" si="42"/>
        <v>-14121.146593427868</v>
      </c>
      <c r="M125" s="187">
        <f t="shared" si="28"/>
        <v>-1157.4069233776604</v>
      </c>
      <c r="N125" s="188">
        <f t="shared" si="29"/>
        <v>-15278.553516805528</v>
      </c>
      <c r="O125" s="187">
        <f t="shared" si="30"/>
        <v>0</v>
      </c>
      <c r="P125" s="187">
        <f t="shared" si="31"/>
        <v>0</v>
      </c>
      <c r="Q125" s="187">
        <v>0</v>
      </c>
      <c r="R125" s="188">
        <f t="shared" si="32"/>
        <v>-15278.553516805528</v>
      </c>
    </row>
    <row r="126" spans="1:18" x14ac:dyDescent="0.25">
      <c r="A126" s="145">
        <v>11</v>
      </c>
      <c r="B126" s="180">
        <f t="shared" si="39"/>
        <v>45231</v>
      </c>
      <c r="C126" s="200">
        <f t="shared" si="41"/>
        <v>45266</v>
      </c>
      <c r="D126" s="200">
        <f t="shared" si="41"/>
        <v>45285</v>
      </c>
      <c r="E126" s="52" t="s">
        <v>13</v>
      </c>
      <c r="F126" s="145">
        <v>9</v>
      </c>
      <c r="G126" s="182">
        <v>867</v>
      </c>
      <c r="H126" s="183">
        <f t="shared" si="27"/>
        <v>1391.1942737059592</v>
      </c>
      <c r="I126" s="183">
        <f t="shared" si="38"/>
        <v>1371.0212071439194</v>
      </c>
      <c r="J126" s="184">
        <f t="shared" si="40"/>
        <v>1188675.3865937782</v>
      </c>
      <c r="K126" s="191">
        <f t="shared" si="34"/>
        <v>1206165.4353030666</v>
      </c>
      <c r="L126" s="190">
        <f t="shared" si="42"/>
        <v>-17490.048709288472</v>
      </c>
      <c r="M126" s="187">
        <f t="shared" si="28"/>
        <v>-1433.5311465263308</v>
      </c>
      <c r="N126" s="188">
        <f t="shared" si="29"/>
        <v>-18923.579855814802</v>
      </c>
      <c r="O126" s="187">
        <f t="shared" si="30"/>
        <v>0</v>
      </c>
      <c r="P126" s="187">
        <f t="shared" si="31"/>
        <v>0</v>
      </c>
      <c r="Q126" s="187">
        <v>0</v>
      </c>
      <c r="R126" s="188">
        <f t="shared" si="32"/>
        <v>-18923.579855814802</v>
      </c>
    </row>
    <row r="127" spans="1:18" s="204" customFormat="1" x14ac:dyDescent="0.25">
      <c r="A127" s="145">
        <v>12</v>
      </c>
      <c r="B127" s="202">
        <f t="shared" si="39"/>
        <v>45261</v>
      </c>
      <c r="C127" s="205">
        <f t="shared" si="41"/>
        <v>45294</v>
      </c>
      <c r="D127" s="205">
        <f t="shared" si="41"/>
        <v>45315</v>
      </c>
      <c r="E127" s="203" t="s">
        <v>13</v>
      </c>
      <c r="F127" s="156">
        <v>9</v>
      </c>
      <c r="G127" s="182">
        <v>916</v>
      </c>
      <c r="H127" s="192">
        <f t="shared" si="27"/>
        <v>1391.1942737059592</v>
      </c>
      <c r="I127" s="192">
        <f t="shared" si="38"/>
        <v>1371.0212071439194</v>
      </c>
      <c r="J127" s="193">
        <f t="shared" si="40"/>
        <v>1255855.4257438302</v>
      </c>
      <c r="K127" s="194">
        <f t="shared" si="34"/>
        <v>1274333.9547146587</v>
      </c>
      <c r="L127" s="195">
        <f t="shared" si="42"/>
        <v>-18478.528970828513</v>
      </c>
      <c r="M127" s="187">
        <f t="shared" si="28"/>
        <v>-1514.5496311627671</v>
      </c>
      <c r="N127" s="188">
        <f t="shared" si="29"/>
        <v>-19993.078601991281</v>
      </c>
      <c r="O127" s="187">
        <f t="shared" si="30"/>
        <v>0</v>
      </c>
      <c r="P127" s="187">
        <f t="shared" si="31"/>
        <v>0</v>
      </c>
      <c r="Q127" s="187">
        <v>0</v>
      </c>
      <c r="R127" s="188">
        <f t="shared" si="32"/>
        <v>-19993.078601991281</v>
      </c>
    </row>
    <row r="128" spans="1:18" x14ac:dyDescent="0.25">
      <c r="A128" s="111">
        <v>1</v>
      </c>
      <c r="B128" s="180">
        <f t="shared" si="39"/>
        <v>44927</v>
      </c>
      <c r="C128" s="200">
        <f t="shared" si="41"/>
        <v>44960</v>
      </c>
      <c r="D128" s="200">
        <f t="shared" si="41"/>
        <v>44981</v>
      </c>
      <c r="E128" s="181" t="s">
        <v>15</v>
      </c>
      <c r="F128" s="111">
        <v>9</v>
      </c>
      <c r="G128" s="182">
        <v>6</v>
      </c>
      <c r="H128" s="183">
        <f t="shared" si="27"/>
        <v>1391.1942737059592</v>
      </c>
      <c r="I128" s="183">
        <f t="shared" ref="I128:I147" si="43">$J$3</f>
        <v>1371.0212071439194</v>
      </c>
      <c r="J128" s="184">
        <f t="shared" si="40"/>
        <v>8226.1272428635166</v>
      </c>
      <c r="K128" s="185">
        <f t="shared" si="34"/>
        <v>8347.1656422357555</v>
      </c>
      <c r="L128" s="186">
        <f>+J128-K128</f>
        <v>-121.03839937223893</v>
      </c>
      <c r="M128" s="187">
        <f t="shared" si="28"/>
        <v>-9.9206307718085167</v>
      </c>
      <c r="N128" s="188">
        <f t="shared" si="29"/>
        <v>-130.95903014404743</v>
      </c>
      <c r="O128" s="187">
        <f t="shared" si="30"/>
        <v>0</v>
      </c>
      <c r="P128" s="187">
        <f t="shared" si="31"/>
        <v>0</v>
      </c>
      <c r="Q128" s="187">
        <v>0</v>
      </c>
      <c r="R128" s="188">
        <f t="shared" si="32"/>
        <v>-130.95903014404743</v>
      </c>
    </row>
    <row r="129" spans="1:18" x14ac:dyDescent="0.25">
      <c r="A129" s="145">
        <v>2</v>
      </c>
      <c r="B129" s="180">
        <f t="shared" si="39"/>
        <v>44958</v>
      </c>
      <c r="C129" s="200">
        <f t="shared" si="41"/>
        <v>44988</v>
      </c>
      <c r="D129" s="200">
        <f t="shared" si="41"/>
        <v>45009</v>
      </c>
      <c r="E129" s="189" t="s">
        <v>15</v>
      </c>
      <c r="F129" s="145">
        <v>9</v>
      </c>
      <c r="G129" s="182">
        <v>5</v>
      </c>
      <c r="H129" s="183">
        <f t="shared" si="27"/>
        <v>1391.1942737059592</v>
      </c>
      <c r="I129" s="183">
        <f t="shared" si="43"/>
        <v>1371.0212071439194</v>
      </c>
      <c r="J129" s="184">
        <f t="shared" si="40"/>
        <v>6855.1060357195965</v>
      </c>
      <c r="K129" s="185">
        <f t="shared" si="34"/>
        <v>6955.9713685297957</v>
      </c>
      <c r="L129" s="186">
        <f>+J129-K129</f>
        <v>-100.86533281019911</v>
      </c>
      <c r="M129" s="187">
        <f t="shared" si="28"/>
        <v>-8.2671923098404303</v>
      </c>
      <c r="N129" s="188">
        <f t="shared" si="29"/>
        <v>-109.13252512003953</v>
      </c>
      <c r="O129" s="187">
        <f t="shared" si="30"/>
        <v>0</v>
      </c>
      <c r="P129" s="187">
        <f t="shared" si="31"/>
        <v>0</v>
      </c>
      <c r="Q129" s="187">
        <v>0</v>
      </c>
      <c r="R129" s="188">
        <f t="shared" si="32"/>
        <v>-109.13252512003953</v>
      </c>
    </row>
    <row r="130" spans="1:18" x14ac:dyDescent="0.25">
      <c r="A130" s="145">
        <v>3</v>
      </c>
      <c r="B130" s="180">
        <f t="shared" si="39"/>
        <v>44986</v>
      </c>
      <c r="C130" s="200">
        <f t="shared" si="41"/>
        <v>45021</v>
      </c>
      <c r="D130" s="200">
        <f t="shared" si="41"/>
        <v>45040</v>
      </c>
      <c r="E130" s="189" t="s">
        <v>15</v>
      </c>
      <c r="F130" s="145">
        <v>9</v>
      </c>
      <c r="G130" s="182">
        <v>5</v>
      </c>
      <c r="H130" s="183">
        <f t="shared" si="27"/>
        <v>1391.1942737059592</v>
      </c>
      <c r="I130" s="183">
        <f t="shared" si="43"/>
        <v>1371.0212071439194</v>
      </c>
      <c r="J130" s="184">
        <f t="shared" si="40"/>
        <v>6855.1060357195965</v>
      </c>
      <c r="K130" s="185">
        <f t="shared" si="34"/>
        <v>6955.9713685297957</v>
      </c>
      <c r="L130" s="186">
        <f>+J130-K130</f>
        <v>-100.86533281019911</v>
      </c>
      <c r="M130" s="187">
        <f t="shared" si="28"/>
        <v>-8.2671923098404303</v>
      </c>
      <c r="N130" s="188">
        <f t="shared" si="29"/>
        <v>-109.13252512003953</v>
      </c>
      <c r="O130" s="187">
        <f t="shared" si="30"/>
        <v>0</v>
      </c>
      <c r="P130" s="187">
        <f t="shared" si="31"/>
        <v>0</v>
      </c>
      <c r="Q130" s="187">
        <v>0</v>
      </c>
      <c r="R130" s="188">
        <f t="shared" si="32"/>
        <v>-109.13252512003953</v>
      </c>
    </row>
    <row r="131" spans="1:18" x14ac:dyDescent="0.25">
      <c r="A131" s="111">
        <v>4</v>
      </c>
      <c r="B131" s="180">
        <f t="shared" si="39"/>
        <v>45017</v>
      </c>
      <c r="C131" s="200">
        <f t="shared" si="41"/>
        <v>45049</v>
      </c>
      <c r="D131" s="200">
        <f t="shared" si="41"/>
        <v>45070</v>
      </c>
      <c r="E131" s="189" t="s">
        <v>15</v>
      </c>
      <c r="F131" s="145">
        <v>9</v>
      </c>
      <c r="G131" s="182">
        <v>7</v>
      </c>
      <c r="H131" s="183">
        <f t="shared" si="27"/>
        <v>1391.1942737059592</v>
      </c>
      <c r="I131" s="183">
        <f t="shared" si="43"/>
        <v>1371.0212071439194</v>
      </c>
      <c r="J131" s="184">
        <f t="shared" si="40"/>
        <v>9597.1484500074348</v>
      </c>
      <c r="K131" s="185">
        <f t="shared" si="34"/>
        <v>9738.3599159417136</v>
      </c>
      <c r="L131" s="186">
        <f t="shared" ref="L131:L141" si="44">+J131-K131</f>
        <v>-141.21146593427875</v>
      </c>
      <c r="M131" s="187">
        <f t="shared" si="28"/>
        <v>-11.574069233776603</v>
      </c>
      <c r="N131" s="188">
        <f t="shared" si="29"/>
        <v>-152.78553516805536</v>
      </c>
      <c r="O131" s="187">
        <f t="shared" si="30"/>
        <v>0</v>
      </c>
      <c r="P131" s="187">
        <f t="shared" si="31"/>
        <v>0</v>
      </c>
      <c r="Q131" s="187">
        <v>0</v>
      </c>
      <c r="R131" s="188">
        <f t="shared" si="32"/>
        <v>-152.78553516805536</v>
      </c>
    </row>
    <row r="132" spans="1:18" x14ac:dyDescent="0.25">
      <c r="A132" s="145">
        <v>5</v>
      </c>
      <c r="B132" s="180">
        <f t="shared" si="39"/>
        <v>45047</v>
      </c>
      <c r="C132" s="200">
        <f t="shared" si="41"/>
        <v>45082</v>
      </c>
      <c r="D132" s="200">
        <f t="shared" si="41"/>
        <v>45103</v>
      </c>
      <c r="E132" s="52" t="s">
        <v>15</v>
      </c>
      <c r="F132" s="145">
        <v>9</v>
      </c>
      <c r="G132" s="182">
        <v>4</v>
      </c>
      <c r="H132" s="183">
        <f t="shared" si="27"/>
        <v>1391.1942737059592</v>
      </c>
      <c r="I132" s="183">
        <f t="shared" si="43"/>
        <v>1371.0212071439194</v>
      </c>
      <c r="J132" s="184">
        <f t="shared" si="40"/>
        <v>5484.0848285756774</v>
      </c>
      <c r="K132" s="185">
        <f t="shared" si="34"/>
        <v>5564.7770948238367</v>
      </c>
      <c r="L132" s="186">
        <f t="shared" si="44"/>
        <v>-80.692266248159285</v>
      </c>
      <c r="M132" s="187">
        <f t="shared" si="28"/>
        <v>-6.6137538478723439</v>
      </c>
      <c r="N132" s="188">
        <f t="shared" si="29"/>
        <v>-87.306020096031631</v>
      </c>
      <c r="O132" s="187">
        <f t="shared" si="30"/>
        <v>0</v>
      </c>
      <c r="P132" s="187">
        <f t="shared" si="31"/>
        <v>0</v>
      </c>
      <c r="Q132" s="187">
        <v>0</v>
      </c>
      <c r="R132" s="188">
        <f t="shared" si="32"/>
        <v>-87.306020096031631</v>
      </c>
    </row>
    <row r="133" spans="1:18" x14ac:dyDescent="0.25">
      <c r="A133" s="145">
        <v>6</v>
      </c>
      <c r="B133" s="180">
        <f t="shared" si="39"/>
        <v>45078</v>
      </c>
      <c r="C133" s="200">
        <f t="shared" si="41"/>
        <v>45112</v>
      </c>
      <c r="D133" s="200">
        <f t="shared" si="41"/>
        <v>45131</v>
      </c>
      <c r="E133" s="52" t="s">
        <v>15</v>
      </c>
      <c r="F133" s="145">
        <v>9</v>
      </c>
      <c r="G133" s="182">
        <v>14</v>
      </c>
      <c r="H133" s="183">
        <f t="shared" si="27"/>
        <v>1391.1942737059592</v>
      </c>
      <c r="I133" s="183">
        <f t="shared" si="43"/>
        <v>1371.0212071439194</v>
      </c>
      <c r="J133" s="184">
        <f t="shared" si="40"/>
        <v>19194.29690001487</v>
      </c>
      <c r="K133" s="185">
        <f t="shared" si="34"/>
        <v>19476.719831883427</v>
      </c>
      <c r="L133" s="190">
        <f t="shared" si="44"/>
        <v>-282.4229318685575</v>
      </c>
      <c r="M133" s="187">
        <f t="shared" si="28"/>
        <v>-23.148138467553206</v>
      </c>
      <c r="N133" s="188">
        <f t="shared" si="29"/>
        <v>-305.57107033611072</v>
      </c>
      <c r="O133" s="187">
        <f t="shared" si="30"/>
        <v>0</v>
      </c>
      <c r="P133" s="187">
        <f t="shared" si="31"/>
        <v>0</v>
      </c>
      <c r="Q133" s="187">
        <v>0</v>
      </c>
      <c r="R133" s="188">
        <f t="shared" si="32"/>
        <v>-305.57107033611072</v>
      </c>
    </row>
    <row r="134" spans="1:18" x14ac:dyDescent="0.25">
      <c r="A134" s="111">
        <v>7</v>
      </c>
      <c r="B134" s="180">
        <f t="shared" si="39"/>
        <v>45108</v>
      </c>
      <c r="C134" s="200">
        <f t="shared" si="41"/>
        <v>45141</v>
      </c>
      <c r="D134" s="200">
        <f t="shared" si="41"/>
        <v>45162</v>
      </c>
      <c r="E134" s="52" t="s">
        <v>15</v>
      </c>
      <c r="F134" s="145">
        <v>9</v>
      </c>
      <c r="G134" s="182">
        <v>13</v>
      </c>
      <c r="H134" s="183">
        <f t="shared" si="27"/>
        <v>1391.1942737059592</v>
      </c>
      <c r="I134" s="183">
        <f t="shared" si="43"/>
        <v>1371.0212071439194</v>
      </c>
      <c r="J134" s="184">
        <f t="shared" si="40"/>
        <v>17823.275692870953</v>
      </c>
      <c r="K134" s="191">
        <f t="shared" ref="K134:K197" si="45">+$G134*H134</f>
        <v>18085.525558177469</v>
      </c>
      <c r="L134" s="190">
        <f t="shared" si="44"/>
        <v>-262.24986530651586</v>
      </c>
      <c r="M134" s="187">
        <f t="shared" si="28"/>
        <v>-21.49470000558512</v>
      </c>
      <c r="N134" s="188">
        <f t="shared" si="29"/>
        <v>-283.74456531210097</v>
      </c>
      <c r="O134" s="187">
        <f t="shared" si="30"/>
        <v>0</v>
      </c>
      <c r="P134" s="187">
        <f t="shared" si="31"/>
        <v>0</v>
      </c>
      <c r="Q134" s="187">
        <v>0</v>
      </c>
      <c r="R134" s="188">
        <f t="shared" si="32"/>
        <v>-283.74456531210097</v>
      </c>
    </row>
    <row r="135" spans="1:18" x14ac:dyDescent="0.25">
      <c r="A135" s="145">
        <v>8</v>
      </c>
      <c r="B135" s="180">
        <f t="shared" si="39"/>
        <v>45139</v>
      </c>
      <c r="C135" s="200">
        <f t="shared" si="41"/>
        <v>45174</v>
      </c>
      <c r="D135" s="200">
        <f t="shared" si="41"/>
        <v>45194</v>
      </c>
      <c r="E135" s="52" t="s">
        <v>15</v>
      </c>
      <c r="F135" s="145">
        <v>9</v>
      </c>
      <c r="G135" s="182">
        <v>19</v>
      </c>
      <c r="H135" s="183">
        <f t="shared" si="27"/>
        <v>1391.1942737059592</v>
      </c>
      <c r="I135" s="183">
        <f t="shared" si="43"/>
        <v>1371.0212071439194</v>
      </c>
      <c r="J135" s="184">
        <f t="shared" si="40"/>
        <v>26049.402935734466</v>
      </c>
      <c r="K135" s="191">
        <f t="shared" si="45"/>
        <v>26432.691200413225</v>
      </c>
      <c r="L135" s="190">
        <f t="shared" si="44"/>
        <v>-383.28826467875842</v>
      </c>
      <c r="M135" s="187">
        <f t="shared" si="28"/>
        <v>-31.415330777393638</v>
      </c>
      <c r="N135" s="188">
        <f t="shared" si="29"/>
        <v>-414.70359545615207</v>
      </c>
      <c r="O135" s="187">
        <f t="shared" si="30"/>
        <v>0</v>
      </c>
      <c r="P135" s="187">
        <f t="shared" si="31"/>
        <v>0</v>
      </c>
      <c r="Q135" s="187">
        <v>0</v>
      </c>
      <c r="R135" s="188">
        <f t="shared" si="32"/>
        <v>-414.70359545615207</v>
      </c>
    </row>
    <row r="136" spans="1:18" x14ac:dyDescent="0.25">
      <c r="A136" s="145">
        <v>9</v>
      </c>
      <c r="B136" s="180">
        <f t="shared" si="39"/>
        <v>45170</v>
      </c>
      <c r="C136" s="200">
        <f t="shared" si="41"/>
        <v>45203</v>
      </c>
      <c r="D136" s="200">
        <f t="shared" si="41"/>
        <v>45223</v>
      </c>
      <c r="E136" s="52" t="s">
        <v>15</v>
      </c>
      <c r="F136" s="145">
        <v>9</v>
      </c>
      <c r="G136" s="182">
        <v>18</v>
      </c>
      <c r="H136" s="183">
        <f t="shared" si="27"/>
        <v>1391.1942737059592</v>
      </c>
      <c r="I136" s="183">
        <f t="shared" si="43"/>
        <v>1371.0212071439194</v>
      </c>
      <c r="J136" s="184">
        <f t="shared" si="40"/>
        <v>24678.38172859055</v>
      </c>
      <c r="K136" s="191">
        <f t="shared" si="45"/>
        <v>25041.496926707267</v>
      </c>
      <c r="L136" s="190">
        <f t="shared" si="44"/>
        <v>-363.11519811671678</v>
      </c>
      <c r="M136" s="187">
        <f t="shared" si="28"/>
        <v>-29.761892315425552</v>
      </c>
      <c r="N136" s="188">
        <f t="shared" si="29"/>
        <v>-392.87709043214232</v>
      </c>
      <c r="O136" s="187">
        <f t="shared" si="30"/>
        <v>0</v>
      </c>
      <c r="P136" s="187">
        <f t="shared" si="31"/>
        <v>0</v>
      </c>
      <c r="Q136" s="187">
        <v>0</v>
      </c>
      <c r="R136" s="188">
        <f t="shared" si="32"/>
        <v>-392.87709043214232</v>
      </c>
    </row>
    <row r="137" spans="1:18" x14ac:dyDescent="0.25">
      <c r="A137" s="111">
        <v>10</v>
      </c>
      <c r="B137" s="180">
        <f t="shared" si="39"/>
        <v>45200</v>
      </c>
      <c r="C137" s="200">
        <f t="shared" si="41"/>
        <v>45233</v>
      </c>
      <c r="D137" s="200">
        <f t="shared" si="41"/>
        <v>45254</v>
      </c>
      <c r="E137" s="52" t="s">
        <v>15</v>
      </c>
      <c r="F137" s="145">
        <v>9</v>
      </c>
      <c r="G137" s="182">
        <v>6</v>
      </c>
      <c r="H137" s="183">
        <f t="shared" si="27"/>
        <v>1391.1942737059592</v>
      </c>
      <c r="I137" s="183">
        <f t="shared" si="43"/>
        <v>1371.0212071439194</v>
      </c>
      <c r="J137" s="184">
        <f t="shared" si="40"/>
        <v>8226.1272428635166</v>
      </c>
      <c r="K137" s="191">
        <f t="shared" si="45"/>
        <v>8347.1656422357555</v>
      </c>
      <c r="L137" s="190">
        <f t="shared" si="44"/>
        <v>-121.03839937223893</v>
      </c>
      <c r="M137" s="187">
        <f t="shared" si="28"/>
        <v>-9.9206307718085167</v>
      </c>
      <c r="N137" s="188">
        <f t="shared" si="29"/>
        <v>-130.95903014404743</v>
      </c>
      <c r="O137" s="187">
        <f t="shared" si="30"/>
        <v>0</v>
      </c>
      <c r="P137" s="187">
        <f t="shared" si="31"/>
        <v>0</v>
      </c>
      <c r="Q137" s="187">
        <v>0</v>
      </c>
      <c r="R137" s="188">
        <f t="shared" si="32"/>
        <v>-130.95903014404743</v>
      </c>
    </row>
    <row r="138" spans="1:18" x14ac:dyDescent="0.25">
      <c r="A138" s="145">
        <v>11</v>
      </c>
      <c r="B138" s="180">
        <f t="shared" si="39"/>
        <v>45231</v>
      </c>
      <c r="C138" s="200">
        <f t="shared" si="41"/>
        <v>45266</v>
      </c>
      <c r="D138" s="200">
        <f t="shared" si="41"/>
        <v>45285</v>
      </c>
      <c r="E138" s="52" t="s">
        <v>15</v>
      </c>
      <c r="F138" s="145">
        <v>9</v>
      </c>
      <c r="G138" s="182">
        <v>6</v>
      </c>
      <c r="H138" s="183">
        <f t="shared" si="27"/>
        <v>1391.1942737059592</v>
      </c>
      <c r="I138" s="183">
        <f t="shared" si="43"/>
        <v>1371.0212071439194</v>
      </c>
      <c r="J138" s="184">
        <f t="shared" si="40"/>
        <v>8226.1272428635166</v>
      </c>
      <c r="K138" s="191">
        <f t="shared" si="45"/>
        <v>8347.1656422357555</v>
      </c>
      <c r="L138" s="190">
        <f t="shared" si="44"/>
        <v>-121.03839937223893</v>
      </c>
      <c r="M138" s="187">
        <f t="shared" si="28"/>
        <v>-9.9206307718085167</v>
      </c>
      <c r="N138" s="188">
        <f t="shared" si="29"/>
        <v>-130.95903014404743</v>
      </c>
      <c r="O138" s="187">
        <f t="shared" si="30"/>
        <v>0</v>
      </c>
      <c r="P138" s="187">
        <f t="shared" si="31"/>
        <v>0</v>
      </c>
      <c r="Q138" s="187">
        <v>0</v>
      </c>
      <c r="R138" s="188">
        <f t="shared" si="32"/>
        <v>-130.95903014404743</v>
      </c>
    </row>
    <row r="139" spans="1:18" s="204" customFormat="1" x14ac:dyDescent="0.25">
      <c r="A139" s="145">
        <v>12</v>
      </c>
      <c r="B139" s="202">
        <f t="shared" si="39"/>
        <v>45261</v>
      </c>
      <c r="C139" s="200">
        <f t="shared" si="41"/>
        <v>45294</v>
      </c>
      <c r="D139" s="200">
        <f t="shared" si="41"/>
        <v>45315</v>
      </c>
      <c r="E139" s="203" t="s">
        <v>15</v>
      </c>
      <c r="F139" s="156">
        <v>9</v>
      </c>
      <c r="G139" s="182">
        <v>5</v>
      </c>
      <c r="H139" s="192">
        <f t="shared" si="27"/>
        <v>1391.1942737059592</v>
      </c>
      <c r="I139" s="192">
        <f t="shared" si="43"/>
        <v>1371.0212071439194</v>
      </c>
      <c r="J139" s="193">
        <f t="shared" si="40"/>
        <v>6855.1060357195965</v>
      </c>
      <c r="K139" s="194">
        <f t="shared" si="45"/>
        <v>6955.9713685297957</v>
      </c>
      <c r="L139" s="195">
        <f t="shared" si="44"/>
        <v>-100.86533281019911</v>
      </c>
      <c r="M139" s="187">
        <f t="shared" si="28"/>
        <v>-8.2671923098404303</v>
      </c>
      <c r="N139" s="188">
        <f t="shared" si="29"/>
        <v>-109.13252512003953</v>
      </c>
      <c r="O139" s="187">
        <f t="shared" si="30"/>
        <v>0</v>
      </c>
      <c r="P139" s="187">
        <f t="shared" si="31"/>
        <v>0</v>
      </c>
      <c r="Q139" s="187">
        <v>0</v>
      </c>
      <c r="R139" s="188">
        <f t="shared" si="32"/>
        <v>-109.13252512003953</v>
      </c>
    </row>
    <row r="140" spans="1:18" x14ac:dyDescent="0.25">
      <c r="A140" s="111">
        <v>1</v>
      </c>
      <c r="B140" s="180">
        <f t="shared" si="39"/>
        <v>44927</v>
      </c>
      <c r="C140" s="197">
        <f t="shared" ref="C140:D151" si="46">+C128</f>
        <v>44960</v>
      </c>
      <c r="D140" s="197">
        <f t="shared" si="46"/>
        <v>44981</v>
      </c>
      <c r="E140" s="207" t="s">
        <v>16</v>
      </c>
      <c r="F140" s="145">
        <v>9</v>
      </c>
      <c r="G140" s="182">
        <v>4</v>
      </c>
      <c r="H140" s="183">
        <f t="shared" si="27"/>
        <v>1391.1942737059592</v>
      </c>
      <c r="I140" s="183">
        <f t="shared" si="43"/>
        <v>1371.0212071439194</v>
      </c>
      <c r="J140" s="184">
        <f t="shared" si="40"/>
        <v>5484.0848285756774</v>
      </c>
      <c r="K140" s="185">
        <f t="shared" si="45"/>
        <v>5564.7770948238367</v>
      </c>
      <c r="L140" s="186">
        <f t="shared" si="44"/>
        <v>-80.692266248159285</v>
      </c>
      <c r="M140" s="187">
        <f t="shared" si="28"/>
        <v>-6.6137538478723439</v>
      </c>
      <c r="N140" s="188">
        <f t="shared" si="29"/>
        <v>-87.306020096031631</v>
      </c>
      <c r="O140" s="187">
        <f t="shared" si="30"/>
        <v>0</v>
      </c>
      <c r="P140" s="187">
        <f t="shared" si="31"/>
        <v>0</v>
      </c>
      <c r="Q140" s="187">
        <v>0</v>
      </c>
      <c r="R140" s="188">
        <f t="shared" si="32"/>
        <v>-87.306020096031631</v>
      </c>
    </row>
    <row r="141" spans="1:18" x14ac:dyDescent="0.25">
      <c r="A141" s="145">
        <v>2</v>
      </c>
      <c r="B141" s="180">
        <f t="shared" si="39"/>
        <v>44958</v>
      </c>
      <c r="C141" s="200">
        <f t="shared" si="46"/>
        <v>44988</v>
      </c>
      <c r="D141" s="200">
        <f t="shared" si="46"/>
        <v>45009</v>
      </c>
      <c r="E141" s="52" t="s">
        <v>16</v>
      </c>
      <c r="F141" s="145">
        <v>9</v>
      </c>
      <c r="G141" s="182">
        <v>5</v>
      </c>
      <c r="H141" s="183">
        <f t="shared" si="27"/>
        <v>1391.1942737059592</v>
      </c>
      <c r="I141" s="183">
        <f t="shared" si="43"/>
        <v>1371.0212071439194</v>
      </c>
      <c r="J141" s="184">
        <f t="shared" si="40"/>
        <v>6855.1060357195965</v>
      </c>
      <c r="K141" s="185">
        <f t="shared" si="45"/>
        <v>6955.9713685297957</v>
      </c>
      <c r="L141" s="186">
        <f t="shared" si="44"/>
        <v>-100.86533281019911</v>
      </c>
      <c r="M141" s="187">
        <f t="shared" si="28"/>
        <v>-8.2671923098404303</v>
      </c>
      <c r="N141" s="188">
        <f t="shared" si="29"/>
        <v>-109.13252512003953</v>
      </c>
      <c r="O141" s="187">
        <f t="shared" si="30"/>
        <v>0</v>
      </c>
      <c r="P141" s="187">
        <f t="shared" si="31"/>
        <v>0</v>
      </c>
      <c r="Q141" s="187">
        <v>0</v>
      </c>
      <c r="R141" s="188">
        <f t="shared" si="32"/>
        <v>-109.13252512003953</v>
      </c>
    </row>
    <row r="142" spans="1:18" x14ac:dyDescent="0.25">
      <c r="A142" s="145">
        <v>3</v>
      </c>
      <c r="B142" s="180">
        <f t="shared" si="39"/>
        <v>44986</v>
      </c>
      <c r="C142" s="200">
        <f t="shared" si="46"/>
        <v>45021</v>
      </c>
      <c r="D142" s="200">
        <f t="shared" si="46"/>
        <v>45040</v>
      </c>
      <c r="E142" s="52" t="s">
        <v>16</v>
      </c>
      <c r="F142" s="145">
        <v>9</v>
      </c>
      <c r="G142" s="182">
        <v>1</v>
      </c>
      <c r="H142" s="183">
        <f t="shared" si="27"/>
        <v>1391.1942737059592</v>
      </c>
      <c r="I142" s="183">
        <f t="shared" si="43"/>
        <v>1371.0212071439194</v>
      </c>
      <c r="J142" s="184">
        <f t="shared" si="40"/>
        <v>1371.0212071439194</v>
      </c>
      <c r="K142" s="185">
        <f t="shared" si="45"/>
        <v>1391.1942737059592</v>
      </c>
      <c r="L142" s="186">
        <f>+J142-K142</f>
        <v>-20.173066562039821</v>
      </c>
      <c r="M142" s="187">
        <f t="shared" si="28"/>
        <v>-1.653438461968086</v>
      </c>
      <c r="N142" s="188">
        <f t="shared" si="29"/>
        <v>-21.826505024007908</v>
      </c>
      <c r="O142" s="187">
        <f t="shared" si="30"/>
        <v>0</v>
      </c>
      <c r="P142" s="187">
        <f t="shared" si="31"/>
        <v>0</v>
      </c>
      <c r="Q142" s="187">
        <v>0</v>
      </c>
      <c r="R142" s="188">
        <f t="shared" si="32"/>
        <v>-21.826505024007908</v>
      </c>
    </row>
    <row r="143" spans="1:18" x14ac:dyDescent="0.25">
      <c r="A143" s="111">
        <v>4</v>
      </c>
      <c r="B143" s="180">
        <f t="shared" si="39"/>
        <v>45017</v>
      </c>
      <c r="C143" s="200">
        <f t="shared" si="46"/>
        <v>45049</v>
      </c>
      <c r="D143" s="200">
        <f t="shared" si="46"/>
        <v>45070</v>
      </c>
      <c r="E143" s="52" t="s">
        <v>16</v>
      </c>
      <c r="F143" s="145">
        <v>9</v>
      </c>
      <c r="G143" s="182">
        <v>7</v>
      </c>
      <c r="H143" s="183">
        <f t="shared" si="27"/>
        <v>1391.1942737059592</v>
      </c>
      <c r="I143" s="183">
        <f t="shared" si="43"/>
        <v>1371.0212071439194</v>
      </c>
      <c r="J143" s="184">
        <f t="shared" si="40"/>
        <v>9597.1484500074348</v>
      </c>
      <c r="K143" s="185">
        <f t="shared" si="45"/>
        <v>9738.3599159417136</v>
      </c>
      <c r="L143" s="186">
        <f t="shared" ref="L143:L153" si="47">+J143-K143</f>
        <v>-141.21146593427875</v>
      </c>
      <c r="M143" s="187">
        <f t="shared" si="28"/>
        <v>-11.574069233776603</v>
      </c>
      <c r="N143" s="188">
        <f t="shared" si="29"/>
        <v>-152.78553516805536</v>
      </c>
      <c r="O143" s="187">
        <f t="shared" si="30"/>
        <v>0</v>
      </c>
      <c r="P143" s="187">
        <f t="shared" si="31"/>
        <v>0</v>
      </c>
      <c r="Q143" s="187">
        <v>0</v>
      </c>
      <c r="R143" s="188">
        <f t="shared" si="32"/>
        <v>-152.78553516805536</v>
      </c>
    </row>
    <row r="144" spans="1:18" x14ac:dyDescent="0.25">
      <c r="A144" s="145">
        <v>5</v>
      </c>
      <c r="B144" s="180">
        <f t="shared" si="39"/>
        <v>45047</v>
      </c>
      <c r="C144" s="200">
        <f t="shared" si="46"/>
        <v>45082</v>
      </c>
      <c r="D144" s="200">
        <f t="shared" si="46"/>
        <v>45103</v>
      </c>
      <c r="E144" s="52" t="s">
        <v>16</v>
      </c>
      <c r="F144" s="145">
        <v>9</v>
      </c>
      <c r="G144" s="182">
        <v>3</v>
      </c>
      <c r="H144" s="183">
        <f t="shared" si="27"/>
        <v>1391.1942737059592</v>
      </c>
      <c r="I144" s="183">
        <f t="shared" si="43"/>
        <v>1371.0212071439194</v>
      </c>
      <c r="J144" s="184">
        <f t="shared" si="40"/>
        <v>4113.0636214317583</v>
      </c>
      <c r="K144" s="185">
        <f t="shared" si="45"/>
        <v>4173.5828211178778</v>
      </c>
      <c r="L144" s="186">
        <f t="shared" si="47"/>
        <v>-60.519199686119464</v>
      </c>
      <c r="M144" s="187">
        <f t="shared" si="28"/>
        <v>-4.9603153859042584</v>
      </c>
      <c r="N144" s="188">
        <f t="shared" si="29"/>
        <v>-65.479515072023716</v>
      </c>
      <c r="O144" s="187">
        <f t="shared" si="30"/>
        <v>0</v>
      </c>
      <c r="P144" s="187">
        <f t="shared" si="31"/>
        <v>0</v>
      </c>
      <c r="Q144" s="187">
        <v>0</v>
      </c>
      <c r="R144" s="188">
        <f t="shared" si="32"/>
        <v>-65.479515072023716</v>
      </c>
    </row>
    <row r="145" spans="1:19" x14ac:dyDescent="0.25">
      <c r="A145" s="145">
        <v>6</v>
      </c>
      <c r="B145" s="180">
        <f t="shared" si="39"/>
        <v>45078</v>
      </c>
      <c r="C145" s="200">
        <f t="shared" si="46"/>
        <v>45112</v>
      </c>
      <c r="D145" s="200">
        <f t="shared" si="46"/>
        <v>45131</v>
      </c>
      <c r="E145" s="52" t="s">
        <v>16</v>
      </c>
      <c r="F145" s="145">
        <v>9</v>
      </c>
      <c r="G145" s="182">
        <v>7</v>
      </c>
      <c r="H145" s="183">
        <f t="shared" si="27"/>
        <v>1391.1942737059592</v>
      </c>
      <c r="I145" s="183">
        <f t="shared" si="43"/>
        <v>1371.0212071439194</v>
      </c>
      <c r="J145" s="184">
        <f t="shared" si="40"/>
        <v>9597.1484500074348</v>
      </c>
      <c r="K145" s="185">
        <f t="shared" si="45"/>
        <v>9738.3599159417136</v>
      </c>
      <c r="L145" s="190">
        <f t="shared" si="47"/>
        <v>-141.21146593427875</v>
      </c>
      <c r="M145" s="187">
        <f t="shared" si="28"/>
        <v>-11.574069233776603</v>
      </c>
      <c r="N145" s="188">
        <f t="shared" si="29"/>
        <v>-152.78553516805536</v>
      </c>
      <c r="O145" s="187">
        <f t="shared" si="30"/>
        <v>0</v>
      </c>
      <c r="P145" s="187">
        <f t="shared" si="31"/>
        <v>0</v>
      </c>
      <c r="Q145" s="187">
        <v>0</v>
      </c>
      <c r="R145" s="188">
        <f t="shared" si="32"/>
        <v>-152.78553516805536</v>
      </c>
    </row>
    <row r="146" spans="1:19" x14ac:dyDescent="0.25">
      <c r="A146" s="111">
        <v>7</v>
      </c>
      <c r="B146" s="180">
        <f t="shared" si="39"/>
        <v>45108</v>
      </c>
      <c r="C146" s="200">
        <f t="shared" si="46"/>
        <v>45141</v>
      </c>
      <c r="D146" s="200">
        <f t="shared" si="46"/>
        <v>45162</v>
      </c>
      <c r="E146" s="52" t="s">
        <v>16</v>
      </c>
      <c r="F146" s="145">
        <v>9</v>
      </c>
      <c r="G146" s="182">
        <v>5</v>
      </c>
      <c r="H146" s="183">
        <f t="shared" si="27"/>
        <v>1391.1942737059592</v>
      </c>
      <c r="I146" s="183">
        <f t="shared" si="43"/>
        <v>1371.0212071439194</v>
      </c>
      <c r="J146" s="184">
        <f t="shared" si="40"/>
        <v>6855.1060357195965</v>
      </c>
      <c r="K146" s="191">
        <f t="shared" si="45"/>
        <v>6955.9713685297957</v>
      </c>
      <c r="L146" s="190">
        <f t="shared" si="47"/>
        <v>-100.86533281019911</v>
      </c>
      <c r="M146" s="187">
        <f t="shared" si="28"/>
        <v>-8.2671923098404303</v>
      </c>
      <c r="N146" s="188">
        <f t="shared" si="29"/>
        <v>-109.13252512003953</v>
      </c>
      <c r="O146" s="187">
        <f t="shared" si="30"/>
        <v>0</v>
      </c>
      <c r="P146" s="187">
        <f t="shared" si="31"/>
        <v>0</v>
      </c>
      <c r="Q146" s="187">
        <v>0</v>
      </c>
      <c r="R146" s="188">
        <f t="shared" si="32"/>
        <v>-109.13252512003953</v>
      </c>
    </row>
    <row r="147" spans="1:19" x14ac:dyDescent="0.25">
      <c r="A147" s="145">
        <v>8</v>
      </c>
      <c r="B147" s="180">
        <f t="shared" si="39"/>
        <v>45139</v>
      </c>
      <c r="C147" s="200">
        <f t="shared" si="46"/>
        <v>45174</v>
      </c>
      <c r="D147" s="200">
        <f t="shared" si="46"/>
        <v>45194</v>
      </c>
      <c r="E147" s="52" t="s">
        <v>16</v>
      </c>
      <c r="F147" s="145">
        <v>9</v>
      </c>
      <c r="G147" s="182">
        <v>5</v>
      </c>
      <c r="H147" s="183">
        <f t="shared" si="27"/>
        <v>1391.1942737059592</v>
      </c>
      <c r="I147" s="183">
        <f t="shared" si="43"/>
        <v>1371.0212071439194</v>
      </c>
      <c r="J147" s="184">
        <f t="shared" si="40"/>
        <v>6855.1060357195965</v>
      </c>
      <c r="K147" s="191">
        <f t="shared" si="45"/>
        <v>6955.9713685297957</v>
      </c>
      <c r="L147" s="190">
        <f t="shared" si="47"/>
        <v>-100.86533281019911</v>
      </c>
      <c r="M147" s="187">
        <f t="shared" si="28"/>
        <v>-8.2671923098404303</v>
      </c>
      <c r="N147" s="188">
        <f t="shared" si="29"/>
        <v>-109.13252512003953</v>
      </c>
      <c r="O147" s="187">
        <f t="shared" si="30"/>
        <v>0</v>
      </c>
      <c r="P147" s="187">
        <f t="shared" si="31"/>
        <v>0</v>
      </c>
      <c r="Q147" s="187">
        <v>0</v>
      </c>
      <c r="R147" s="188">
        <f t="shared" si="32"/>
        <v>-109.13252512003953</v>
      </c>
    </row>
    <row r="148" spans="1:19" x14ac:dyDescent="0.25">
      <c r="A148" s="145">
        <v>9</v>
      </c>
      <c r="B148" s="180">
        <f t="shared" si="39"/>
        <v>45170</v>
      </c>
      <c r="C148" s="200">
        <f t="shared" si="46"/>
        <v>45203</v>
      </c>
      <c r="D148" s="200">
        <f t="shared" si="46"/>
        <v>45223</v>
      </c>
      <c r="E148" s="52" t="s">
        <v>16</v>
      </c>
      <c r="F148" s="145">
        <v>9</v>
      </c>
      <c r="G148" s="182">
        <v>6</v>
      </c>
      <c r="H148" s="183">
        <f t="shared" si="27"/>
        <v>1391.1942737059592</v>
      </c>
      <c r="I148" s="183">
        <f t="shared" ref="I148:I179" si="48">$J$3</f>
        <v>1371.0212071439194</v>
      </c>
      <c r="J148" s="184">
        <f t="shared" si="40"/>
        <v>8226.1272428635166</v>
      </c>
      <c r="K148" s="191">
        <f t="shared" si="45"/>
        <v>8347.1656422357555</v>
      </c>
      <c r="L148" s="190">
        <f t="shared" si="47"/>
        <v>-121.03839937223893</v>
      </c>
      <c r="M148" s="187">
        <f t="shared" si="28"/>
        <v>-9.9206307718085167</v>
      </c>
      <c r="N148" s="188">
        <f t="shared" si="29"/>
        <v>-130.95903014404743</v>
      </c>
      <c r="O148" s="187">
        <f t="shared" si="30"/>
        <v>0</v>
      </c>
      <c r="P148" s="187">
        <f t="shared" si="31"/>
        <v>0</v>
      </c>
      <c r="Q148" s="187">
        <v>0</v>
      </c>
      <c r="R148" s="188">
        <f t="shared" si="32"/>
        <v>-130.95903014404743</v>
      </c>
    </row>
    <row r="149" spans="1:19" x14ac:dyDescent="0.25">
      <c r="A149" s="111">
        <v>10</v>
      </c>
      <c r="B149" s="180">
        <f t="shared" ref="B149:B211" si="49">DATE($R$1,A149,1)</f>
        <v>45200</v>
      </c>
      <c r="C149" s="200">
        <f t="shared" si="46"/>
        <v>45233</v>
      </c>
      <c r="D149" s="200">
        <f t="shared" si="46"/>
        <v>45254</v>
      </c>
      <c r="E149" s="52" t="s">
        <v>16</v>
      </c>
      <c r="F149" s="145">
        <v>9</v>
      </c>
      <c r="G149" s="182">
        <v>5</v>
      </c>
      <c r="H149" s="183">
        <f t="shared" ref="H149:H211" si="50">+$K$3</f>
        <v>1391.1942737059592</v>
      </c>
      <c r="I149" s="183">
        <f t="shared" si="48"/>
        <v>1371.0212071439194</v>
      </c>
      <c r="J149" s="184">
        <f t="shared" ref="J149:J211" si="51">+$G149*I149</f>
        <v>6855.1060357195965</v>
      </c>
      <c r="K149" s="191">
        <f t="shared" si="45"/>
        <v>6955.9713685297957</v>
      </c>
      <c r="L149" s="190">
        <f t="shared" si="47"/>
        <v>-100.86533281019911</v>
      </c>
      <c r="M149" s="187">
        <f t="shared" ref="M149:M211" si="52">G149/$G$212*$M$14</f>
        <v>-8.2671923098404303</v>
      </c>
      <c r="N149" s="188">
        <f t="shared" ref="N149:N211" si="53">SUM(L149:M149)</f>
        <v>-109.13252512003953</v>
      </c>
      <c r="O149" s="187">
        <f t="shared" ref="O149:O211" si="54">+$P$3</f>
        <v>0</v>
      </c>
      <c r="P149" s="187">
        <f t="shared" ref="P149:P211" si="55">+G149*O149</f>
        <v>0</v>
      </c>
      <c r="Q149" s="187">
        <v>0</v>
      </c>
      <c r="R149" s="188">
        <f t="shared" ref="R149:R211" si="56">+N149-Q149</f>
        <v>-109.13252512003953</v>
      </c>
    </row>
    <row r="150" spans="1:19" x14ac:dyDescent="0.25">
      <c r="A150" s="145">
        <v>11</v>
      </c>
      <c r="B150" s="180">
        <f t="shared" si="49"/>
        <v>45231</v>
      </c>
      <c r="C150" s="200">
        <f t="shared" si="46"/>
        <v>45266</v>
      </c>
      <c r="D150" s="200">
        <f t="shared" si="46"/>
        <v>45285</v>
      </c>
      <c r="E150" s="52" t="s">
        <v>16</v>
      </c>
      <c r="F150" s="145">
        <v>9</v>
      </c>
      <c r="G150" s="182">
        <v>4</v>
      </c>
      <c r="H150" s="183">
        <f t="shared" si="50"/>
        <v>1391.1942737059592</v>
      </c>
      <c r="I150" s="183">
        <f t="shared" si="48"/>
        <v>1371.0212071439194</v>
      </c>
      <c r="J150" s="184">
        <f t="shared" si="51"/>
        <v>5484.0848285756774</v>
      </c>
      <c r="K150" s="191">
        <f t="shared" si="45"/>
        <v>5564.7770948238367</v>
      </c>
      <c r="L150" s="190">
        <f t="shared" si="47"/>
        <v>-80.692266248159285</v>
      </c>
      <c r="M150" s="187">
        <f t="shared" si="52"/>
        <v>-6.6137538478723439</v>
      </c>
      <c r="N150" s="188">
        <f t="shared" si="53"/>
        <v>-87.306020096031631</v>
      </c>
      <c r="O150" s="187">
        <f t="shared" si="54"/>
        <v>0</v>
      </c>
      <c r="P150" s="187">
        <f t="shared" si="55"/>
        <v>0</v>
      </c>
      <c r="Q150" s="187">
        <v>0</v>
      </c>
      <c r="R150" s="188">
        <f t="shared" si="56"/>
        <v>-87.306020096031631</v>
      </c>
    </row>
    <row r="151" spans="1:19" s="204" customFormat="1" x14ac:dyDescent="0.25">
      <c r="A151" s="145">
        <v>12</v>
      </c>
      <c r="B151" s="202">
        <f t="shared" si="49"/>
        <v>45261</v>
      </c>
      <c r="C151" s="200">
        <f t="shared" si="46"/>
        <v>45294</v>
      </c>
      <c r="D151" s="200">
        <f t="shared" si="46"/>
        <v>45315</v>
      </c>
      <c r="E151" s="203" t="s">
        <v>16</v>
      </c>
      <c r="F151" s="156">
        <v>9</v>
      </c>
      <c r="G151" s="182">
        <v>4</v>
      </c>
      <c r="H151" s="192">
        <f t="shared" si="50"/>
        <v>1391.1942737059592</v>
      </c>
      <c r="I151" s="192">
        <f t="shared" si="48"/>
        <v>1371.0212071439194</v>
      </c>
      <c r="J151" s="193">
        <f t="shared" si="51"/>
        <v>5484.0848285756774</v>
      </c>
      <c r="K151" s="194">
        <f t="shared" si="45"/>
        <v>5564.7770948238367</v>
      </c>
      <c r="L151" s="195">
        <f t="shared" si="47"/>
        <v>-80.692266248159285</v>
      </c>
      <c r="M151" s="187">
        <f t="shared" si="52"/>
        <v>-6.6137538478723439</v>
      </c>
      <c r="N151" s="188">
        <f t="shared" si="53"/>
        <v>-87.306020096031631</v>
      </c>
      <c r="O151" s="187">
        <f t="shared" si="54"/>
        <v>0</v>
      </c>
      <c r="P151" s="187">
        <f t="shared" si="55"/>
        <v>0</v>
      </c>
      <c r="Q151" s="187">
        <v>0</v>
      </c>
      <c r="R151" s="188">
        <f t="shared" si="56"/>
        <v>-87.306020096031631</v>
      </c>
    </row>
    <row r="152" spans="1:19" x14ac:dyDescent="0.25">
      <c r="A152" s="111">
        <v>1</v>
      </c>
      <c r="B152" s="180">
        <f t="shared" si="49"/>
        <v>44927</v>
      </c>
      <c r="C152" s="197">
        <f t="shared" ref="C152:D171" si="57">+C140</f>
        <v>44960</v>
      </c>
      <c r="D152" s="197">
        <f t="shared" si="57"/>
        <v>44981</v>
      </c>
      <c r="E152" s="207" t="s">
        <v>56</v>
      </c>
      <c r="F152" s="111">
        <v>9</v>
      </c>
      <c r="G152" s="182">
        <v>113</v>
      </c>
      <c r="H152" s="183">
        <f t="shared" si="50"/>
        <v>1391.1942737059592</v>
      </c>
      <c r="I152" s="183">
        <f t="shared" si="48"/>
        <v>1371.0212071439194</v>
      </c>
      <c r="J152" s="184">
        <f t="shared" si="51"/>
        <v>154925.39640726289</v>
      </c>
      <c r="K152" s="185">
        <f t="shared" si="45"/>
        <v>157204.95292877339</v>
      </c>
      <c r="L152" s="186">
        <f t="shared" si="47"/>
        <v>-2279.5565215105016</v>
      </c>
      <c r="M152" s="187">
        <f t="shared" si="52"/>
        <v>-186.83854620239373</v>
      </c>
      <c r="N152" s="188">
        <f t="shared" si="53"/>
        <v>-2466.3950677128955</v>
      </c>
      <c r="O152" s="187">
        <f t="shared" si="54"/>
        <v>0</v>
      </c>
      <c r="P152" s="187">
        <f t="shared" si="55"/>
        <v>0</v>
      </c>
      <c r="Q152" s="187">
        <v>0</v>
      </c>
      <c r="R152" s="188">
        <f t="shared" si="56"/>
        <v>-2466.3950677128955</v>
      </c>
    </row>
    <row r="153" spans="1:19" x14ac:dyDescent="0.25">
      <c r="A153" s="145">
        <v>2</v>
      </c>
      <c r="B153" s="180">
        <f t="shared" si="49"/>
        <v>44958</v>
      </c>
      <c r="C153" s="200">
        <f t="shared" si="57"/>
        <v>44988</v>
      </c>
      <c r="D153" s="200">
        <f t="shared" si="57"/>
        <v>45009</v>
      </c>
      <c r="E153" s="208" t="s">
        <v>56</v>
      </c>
      <c r="F153" s="145">
        <v>9</v>
      </c>
      <c r="G153" s="182">
        <v>108</v>
      </c>
      <c r="H153" s="183">
        <f t="shared" si="50"/>
        <v>1391.1942737059592</v>
      </c>
      <c r="I153" s="183">
        <f t="shared" si="48"/>
        <v>1371.0212071439194</v>
      </c>
      <c r="J153" s="184">
        <f t="shared" si="51"/>
        <v>148070.29037154329</v>
      </c>
      <c r="K153" s="185">
        <f t="shared" si="45"/>
        <v>150248.98156024358</v>
      </c>
      <c r="L153" s="186">
        <f t="shared" si="47"/>
        <v>-2178.6911887002934</v>
      </c>
      <c r="M153" s="187">
        <f t="shared" si="52"/>
        <v>-178.57135389255333</v>
      </c>
      <c r="N153" s="188">
        <f t="shared" si="53"/>
        <v>-2357.2625425928468</v>
      </c>
      <c r="O153" s="187">
        <f t="shared" si="54"/>
        <v>0</v>
      </c>
      <c r="P153" s="187">
        <f t="shared" si="55"/>
        <v>0</v>
      </c>
      <c r="Q153" s="187">
        <v>0</v>
      </c>
      <c r="R153" s="188">
        <f t="shared" si="56"/>
        <v>-2357.2625425928468</v>
      </c>
    </row>
    <row r="154" spans="1:19" x14ac:dyDescent="0.25">
      <c r="A154" s="145">
        <v>3</v>
      </c>
      <c r="B154" s="180">
        <f t="shared" si="49"/>
        <v>44986</v>
      </c>
      <c r="C154" s="200">
        <f t="shared" si="57"/>
        <v>45021</v>
      </c>
      <c r="D154" s="200">
        <f t="shared" si="57"/>
        <v>45040</v>
      </c>
      <c r="E154" s="208" t="s">
        <v>56</v>
      </c>
      <c r="F154" s="145">
        <v>9</v>
      </c>
      <c r="G154" s="182">
        <v>96</v>
      </c>
      <c r="H154" s="183">
        <f t="shared" si="50"/>
        <v>1391.1942737059592</v>
      </c>
      <c r="I154" s="183">
        <f t="shared" si="48"/>
        <v>1371.0212071439194</v>
      </c>
      <c r="J154" s="184">
        <f t="shared" si="51"/>
        <v>131618.03588581627</v>
      </c>
      <c r="K154" s="185">
        <f t="shared" si="45"/>
        <v>133554.65027577209</v>
      </c>
      <c r="L154" s="186">
        <f>+J154-K154</f>
        <v>-1936.6143899558228</v>
      </c>
      <c r="M154" s="187">
        <f t="shared" si="52"/>
        <v>-158.73009234893627</v>
      </c>
      <c r="N154" s="188">
        <f t="shared" si="53"/>
        <v>-2095.3444823047589</v>
      </c>
      <c r="O154" s="187">
        <f t="shared" si="54"/>
        <v>0</v>
      </c>
      <c r="P154" s="187">
        <f t="shared" si="55"/>
        <v>0</v>
      </c>
      <c r="Q154" s="187">
        <v>0</v>
      </c>
      <c r="R154" s="188">
        <f t="shared" si="56"/>
        <v>-2095.3444823047589</v>
      </c>
    </row>
    <row r="155" spans="1:19" x14ac:dyDescent="0.25">
      <c r="A155" s="111">
        <v>4</v>
      </c>
      <c r="B155" s="180">
        <f t="shared" si="49"/>
        <v>45017</v>
      </c>
      <c r="C155" s="200">
        <f t="shared" si="57"/>
        <v>45049</v>
      </c>
      <c r="D155" s="200">
        <f t="shared" si="57"/>
        <v>45070</v>
      </c>
      <c r="E155" s="208" t="s">
        <v>56</v>
      </c>
      <c r="F155" s="145">
        <v>9</v>
      </c>
      <c r="G155" s="182">
        <v>91</v>
      </c>
      <c r="H155" s="183">
        <f t="shared" si="50"/>
        <v>1391.1942737059592</v>
      </c>
      <c r="I155" s="183">
        <f t="shared" si="48"/>
        <v>1371.0212071439194</v>
      </c>
      <c r="J155" s="184">
        <f t="shared" si="51"/>
        <v>124762.92985009665</v>
      </c>
      <c r="K155" s="185">
        <f t="shared" si="45"/>
        <v>126598.67890724228</v>
      </c>
      <c r="L155" s="186">
        <f t="shared" ref="L155:L165" si="58">+J155-K155</f>
        <v>-1835.7490571456292</v>
      </c>
      <c r="M155" s="187">
        <f t="shared" si="52"/>
        <v>-150.46290003909584</v>
      </c>
      <c r="N155" s="188">
        <f t="shared" si="53"/>
        <v>-1986.211957184725</v>
      </c>
      <c r="O155" s="187">
        <f t="shared" si="54"/>
        <v>0</v>
      </c>
      <c r="P155" s="187">
        <f t="shared" si="55"/>
        <v>0</v>
      </c>
      <c r="Q155" s="187">
        <v>0</v>
      </c>
      <c r="R155" s="188">
        <f t="shared" si="56"/>
        <v>-1986.211957184725</v>
      </c>
    </row>
    <row r="156" spans="1:19" x14ac:dyDescent="0.25">
      <c r="A156" s="145">
        <v>5</v>
      </c>
      <c r="B156" s="180">
        <f t="shared" si="49"/>
        <v>45047</v>
      </c>
      <c r="C156" s="200">
        <f t="shared" si="57"/>
        <v>45082</v>
      </c>
      <c r="D156" s="200">
        <f t="shared" si="57"/>
        <v>45103</v>
      </c>
      <c r="E156" s="208" t="s">
        <v>56</v>
      </c>
      <c r="F156" s="145">
        <v>9</v>
      </c>
      <c r="G156" s="182">
        <v>125</v>
      </c>
      <c r="H156" s="183">
        <f t="shared" si="50"/>
        <v>1391.1942737059592</v>
      </c>
      <c r="I156" s="183">
        <f t="shared" si="48"/>
        <v>1371.0212071439194</v>
      </c>
      <c r="J156" s="184">
        <f t="shared" si="51"/>
        <v>171377.65089298991</v>
      </c>
      <c r="K156" s="185">
        <f t="shared" si="45"/>
        <v>173899.28421324489</v>
      </c>
      <c r="L156" s="186">
        <f t="shared" si="58"/>
        <v>-2521.6333202549722</v>
      </c>
      <c r="M156" s="187">
        <f t="shared" si="52"/>
        <v>-206.67980774601077</v>
      </c>
      <c r="N156" s="188">
        <f t="shared" si="53"/>
        <v>-2728.3131280009829</v>
      </c>
      <c r="O156" s="187">
        <f t="shared" si="54"/>
        <v>0</v>
      </c>
      <c r="P156" s="187">
        <f t="shared" si="55"/>
        <v>0</v>
      </c>
      <c r="Q156" s="187">
        <v>0</v>
      </c>
      <c r="R156" s="188">
        <f t="shared" si="56"/>
        <v>-2728.3131280009829</v>
      </c>
    </row>
    <row r="157" spans="1:19" x14ac:dyDescent="0.25">
      <c r="A157" s="145">
        <v>6</v>
      </c>
      <c r="B157" s="180">
        <f t="shared" si="49"/>
        <v>45078</v>
      </c>
      <c r="C157" s="200">
        <f t="shared" si="57"/>
        <v>45112</v>
      </c>
      <c r="D157" s="200">
        <f t="shared" si="57"/>
        <v>45131</v>
      </c>
      <c r="E157" s="208" t="s">
        <v>56</v>
      </c>
      <c r="F157" s="145">
        <v>9</v>
      </c>
      <c r="G157" s="182">
        <v>167</v>
      </c>
      <c r="H157" s="183">
        <f t="shared" si="50"/>
        <v>1391.1942737059592</v>
      </c>
      <c r="I157" s="183">
        <f t="shared" si="48"/>
        <v>1371.0212071439194</v>
      </c>
      <c r="J157" s="184">
        <f t="shared" si="51"/>
        <v>228960.54159303452</v>
      </c>
      <c r="K157" s="185">
        <f t="shared" si="45"/>
        <v>232329.44370889518</v>
      </c>
      <c r="L157" s="190">
        <f t="shared" si="58"/>
        <v>-3368.9021158606629</v>
      </c>
      <c r="M157" s="187">
        <f t="shared" si="52"/>
        <v>-276.12422314867041</v>
      </c>
      <c r="N157" s="188">
        <f t="shared" si="53"/>
        <v>-3645.0263390093332</v>
      </c>
      <c r="O157" s="187">
        <f t="shared" si="54"/>
        <v>0</v>
      </c>
      <c r="P157" s="187">
        <f t="shared" si="55"/>
        <v>0</v>
      </c>
      <c r="Q157" s="187">
        <v>0</v>
      </c>
      <c r="R157" s="188">
        <f t="shared" si="56"/>
        <v>-3645.0263390093332</v>
      </c>
    </row>
    <row r="158" spans="1:19" x14ac:dyDescent="0.25">
      <c r="A158" s="111">
        <v>7</v>
      </c>
      <c r="B158" s="180">
        <f t="shared" si="49"/>
        <v>45108</v>
      </c>
      <c r="C158" s="200">
        <f t="shared" si="57"/>
        <v>45141</v>
      </c>
      <c r="D158" s="200">
        <f t="shared" si="57"/>
        <v>45162</v>
      </c>
      <c r="E158" s="208" t="s">
        <v>56</v>
      </c>
      <c r="F158" s="145">
        <v>9</v>
      </c>
      <c r="G158" s="182">
        <v>160</v>
      </c>
      <c r="H158" s="183">
        <f t="shared" si="50"/>
        <v>1391.1942737059592</v>
      </c>
      <c r="I158" s="183">
        <f t="shared" si="48"/>
        <v>1371.0212071439194</v>
      </c>
      <c r="J158" s="184">
        <f t="shared" si="51"/>
        <v>219363.39314302709</v>
      </c>
      <c r="K158" s="191">
        <f t="shared" si="45"/>
        <v>222591.08379295346</v>
      </c>
      <c r="L158" s="190">
        <f t="shared" si="58"/>
        <v>-3227.6906499263714</v>
      </c>
      <c r="M158" s="187">
        <f t="shared" si="52"/>
        <v>-264.55015391489377</v>
      </c>
      <c r="N158" s="188">
        <f t="shared" si="53"/>
        <v>-3492.240803841265</v>
      </c>
      <c r="O158" s="187">
        <f t="shared" si="54"/>
        <v>0</v>
      </c>
      <c r="P158" s="187">
        <f t="shared" si="55"/>
        <v>0</v>
      </c>
      <c r="Q158" s="187">
        <v>0</v>
      </c>
      <c r="R158" s="188">
        <f t="shared" si="56"/>
        <v>-3492.240803841265</v>
      </c>
    </row>
    <row r="159" spans="1:19" x14ac:dyDescent="0.25">
      <c r="A159" s="145">
        <v>8</v>
      </c>
      <c r="B159" s="180">
        <f t="shared" si="49"/>
        <v>45139</v>
      </c>
      <c r="C159" s="200">
        <f t="shared" si="57"/>
        <v>45174</v>
      </c>
      <c r="D159" s="200">
        <f t="shared" si="57"/>
        <v>45194</v>
      </c>
      <c r="E159" s="208" t="s">
        <v>56</v>
      </c>
      <c r="F159" s="111">
        <v>9</v>
      </c>
      <c r="G159" s="182">
        <v>181</v>
      </c>
      <c r="H159" s="183">
        <f t="shared" si="50"/>
        <v>1391.1942737059592</v>
      </c>
      <c r="I159" s="183">
        <f t="shared" si="48"/>
        <v>1371.0212071439194</v>
      </c>
      <c r="J159" s="184">
        <f t="shared" si="51"/>
        <v>248154.83849304941</v>
      </c>
      <c r="K159" s="191">
        <f t="shared" si="45"/>
        <v>251806.16354077862</v>
      </c>
      <c r="L159" s="190">
        <f t="shared" si="58"/>
        <v>-3651.3250477292167</v>
      </c>
      <c r="M159" s="187">
        <f t="shared" si="52"/>
        <v>-299.27236161622358</v>
      </c>
      <c r="N159" s="188">
        <f t="shared" si="53"/>
        <v>-3950.5974093454402</v>
      </c>
      <c r="O159" s="187">
        <f t="shared" si="54"/>
        <v>0</v>
      </c>
      <c r="P159" s="187">
        <f t="shared" si="55"/>
        <v>0</v>
      </c>
      <c r="Q159" s="187">
        <v>0</v>
      </c>
      <c r="R159" s="188">
        <f t="shared" si="56"/>
        <v>-3950.5974093454402</v>
      </c>
      <c r="S159" s="50"/>
    </row>
    <row r="160" spans="1:19" x14ac:dyDescent="0.25">
      <c r="A160" s="145">
        <v>9</v>
      </c>
      <c r="B160" s="180">
        <f t="shared" si="49"/>
        <v>45170</v>
      </c>
      <c r="C160" s="200">
        <f t="shared" si="57"/>
        <v>45203</v>
      </c>
      <c r="D160" s="200">
        <f t="shared" si="57"/>
        <v>45223</v>
      </c>
      <c r="E160" s="208" t="s">
        <v>56</v>
      </c>
      <c r="F160" s="111">
        <v>9</v>
      </c>
      <c r="G160" s="182">
        <v>157</v>
      </c>
      <c r="H160" s="183">
        <f t="shared" si="50"/>
        <v>1391.1942737059592</v>
      </c>
      <c r="I160" s="183">
        <f t="shared" si="48"/>
        <v>1371.0212071439194</v>
      </c>
      <c r="J160" s="184">
        <f t="shared" si="51"/>
        <v>215250.32952159533</v>
      </c>
      <c r="K160" s="191">
        <f t="shared" si="45"/>
        <v>218417.5009718356</v>
      </c>
      <c r="L160" s="190">
        <f t="shared" si="58"/>
        <v>-3167.1714502402756</v>
      </c>
      <c r="M160" s="187">
        <f t="shared" si="52"/>
        <v>-259.5898385289895</v>
      </c>
      <c r="N160" s="188">
        <f t="shared" si="53"/>
        <v>-3426.7612887692649</v>
      </c>
      <c r="O160" s="187">
        <f t="shared" si="54"/>
        <v>0</v>
      </c>
      <c r="P160" s="187">
        <f t="shared" si="55"/>
        <v>0</v>
      </c>
      <c r="Q160" s="187">
        <v>0</v>
      </c>
      <c r="R160" s="188">
        <f t="shared" si="56"/>
        <v>-3426.7612887692649</v>
      </c>
    </row>
    <row r="161" spans="1:19" x14ac:dyDescent="0.25">
      <c r="A161" s="111">
        <v>10</v>
      </c>
      <c r="B161" s="180">
        <f t="shared" si="49"/>
        <v>45200</v>
      </c>
      <c r="C161" s="200">
        <f t="shared" si="57"/>
        <v>45233</v>
      </c>
      <c r="D161" s="200">
        <f t="shared" si="57"/>
        <v>45254</v>
      </c>
      <c r="E161" s="208" t="s">
        <v>56</v>
      </c>
      <c r="F161" s="111">
        <v>9</v>
      </c>
      <c r="G161" s="182">
        <v>118</v>
      </c>
      <c r="H161" s="183">
        <f t="shared" si="50"/>
        <v>1391.1942737059592</v>
      </c>
      <c r="I161" s="183">
        <f t="shared" si="48"/>
        <v>1371.0212071439194</v>
      </c>
      <c r="J161" s="184">
        <f t="shared" si="51"/>
        <v>161780.50244298248</v>
      </c>
      <c r="K161" s="191">
        <f t="shared" si="45"/>
        <v>164160.92429730319</v>
      </c>
      <c r="L161" s="190">
        <f t="shared" si="58"/>
        <v>-2380.4218543207098</v>
      </c>
      <c r="M161" s="187">
        <f t="shared" si="52"/>
        <v>-195.10573851223415</v>
      </c>
      <c r="N161" s="188">
        <f t="shared" si="53"/>
        <v>-2575.5275928329438</v>
      </c>
      <c r="O161" s="187">
        <f t="shared" si="54"/>
        <v>0</v>
      </c>
      <c r="P161" s="187">
        <f t="shared" si="55"/>
        <v>0</v>
      </c>
      <c r="Q161" s="187">
        <v>0</v>
      </c>
      <c r="R161" s="188">
        <f t="shared" si="56"/>
        <v>-2575.5275928329438</v>
      </c>
    </row>
    <row r="162" spans="1:19" x14ac:dyDescent="0.25">
      <c r="A162" s="145">
        <v>11</v>
      </c>
      <c r="B162" s="180">
        <f t="shared" si="49"/>
        <v>45231</v>
      </c>
      <c r="C162" s="200">
        <f t="shared" si="57"/>
        <v>45266</v>
      </c>
      <c r="D162" s="200">
        <f t="shared" si="57"/>
        <v>45285</v>
      </c>
      <c r="E162" s="208" t="s">
        <v>56</v>
      </c>
      <c r="F162" s="111">
        <v>9</v>
      </c>
      <c r="G162" s="182">
        <v>102</v>
      </c>
      <c r="H162" s="183">
        <f t="shared" si="50"/>
        <v>1391.1942737059592</v>
      </c>
      <c r="I162" s="183">
        <f t="shared" si="48"/>
        <v>1371.0212071439194</v>
      </c>
      <c r="J162" s="184">
        <f t="shared" si="51"/>
        <v>139844.16312867976</v>
      </c>
      <c r="K162" s="191">
        <f t="shared" si="45"/>
        <v>141901.81591800784</v>
      </c>
      <c r="L162" s="190">
        <f t="shared" si="58"/>
        <v>-2057.6527893280727</v>
      </c>
      <c r="M162" s="187">
        <f t="shared" si="52"/>
        <v>-168.65072312074477</v>
      </c>
      <c r="N162" s="188">
        <f t="shared" si="53"/>
        <v>-2226.3035124488174</v>
      </c>
      <c r="O162" s="187">
        <f t="shared" si="54"/>
        <v>0</v>
      </c>
      <c r="P162" s="187">
        <f t="shared" si="55"/>
        <v>0</v>
      </c>
      <c r="Q162" s="187">
        <v>0</v>
      </c>
      <c r="R162" s="188">
        <f t="shared" si="56"/>
        <v>-2226.3035124488174</v>
      </c>
    </row>
    <row r="163" spans="1:19" s="204" customFormat="1" x14ac:dyDescent="0.25">
      <c r="A163" s="145">
        <v>12</v>
      </c>
      <c r="B163" s="202">
        <f t="shared" si="49"/>
        <v>45261</v>
      </c>
      <c r="C163" s="200">
        <f t="shared" si="57"/>
        <v>45294</v>
      </c>
      <c r="D163" s="200">
        <f t="shared" si="57"/>
        <v>45315</v>
      </c>
      <c r="E163" s="209" t="s">
        <v>56</v>
      </c>
      <c r="F163" s="156">
        <v>9</v>
      </c>
      <c r="G163" s="182">
        <v>99</v>
      </c>
      <c r="H163" s="192">
        <f t="shared" si="50"/>
        <v>1391.1942737059592</v>
      </c>
      <c r="I163" s="192">
        <f t="shared" si="48"/>
        <v>1371.0212071439194</v>
      </c>
      <c r="J163" s="193">
        <f t="shared" si="51"/>
        <v>135731.09950724803</v>
      </c>
      <c r="K163" s="194">
        <f t="shared" si="45"/>
        <v>137728.23309688995</v>
      </c>
      <c r="L163" s="195">
        <f t="shared" si="58"/>
        <v>-1997.1335896419187</v>
      </c>
      <c r="M163" s="187">
        <f t="shared" si="52"/>
        <v>-163.69040773484053</v>
      </c>
      <c r="N163" s="188">
        <f t="shared" si="53"/>
        <v>-2160.8239973767591</v>
      </c>
      <c r="O163" s="187">
        <f t="shared" si="54"/>
        <v>0</v>
      </c>
      <c r="P163" s="187">
        <f t="shared" si="55"/>
        <v>0</v>
      </c>
      <c r="Q163" s="187">
        <v>0</v>
      </c>
      <c r="R163" s="188">
        <f t="shared" si="56"/>
        <v>-2160.8239973767591</v>
      </c>
    </row>
    <row r="164" spans="1:19" x14ac:dyDescent="0.25">
      <c r="A164" s="111">
        <v>1</v>
      </c>
      <c r="B164" s="180">
        <f t="shared" si="49"/>
        <v>44927</v>
      </c>
      <c r="C164" s="197">
        <f t="shared" si="57"/>
        <v>44960</v>
      </c>
      <c r="D164" s="197">
        <f t="shared" si="57"/>
        <v>44981</v>
      </c>
      <c r="E164" s="207" t="s">
        <v>57</v>
      </c>
      <c r="F164" s="111">
        <v>9</v>
      </c>
      <c r="G164" s="182">
        <v>7</v>
      </c>
      <c r="H164" s="183">
        <f t="shared" si="50"/>
        <v>1391.1942737059592</v>
      </c>
      <c r="I164" s="183">
        <f t="shared" si="48"/>
        <v>1371.0212071439194</v>
      </c>
      <c r="J164" s="184">
        <f t="shared" si="51"/>
        <v>9597.1484500074348</v>
      </c>
      <c r="K164" s="185">
        <f t="shared" si="45"/>
        <v>9738.3599159417136</v>
      </c>
      <c r="L164" s="186">
        <f t="shared" si="58"/>
        <v>-141.21146593427875</v>
      </c>
      <c r="M164" s="187">
        <f t="shared" si="52"/>
        <v>-11.574069233776603</v>
      </c>
      <c r="N164" s="188">
        <f t="shared" si="53"/>
        <v>-152.78553516805536</v>
      </c>
      <c r="O164" s="187">
        <f t="shared" si="54"/>
        <v>0</v>
      </c>
      <c r="P164" s="187">
        <f t="shared" si="55"/>
        <v>0</v>
      </c>
      <c r="Q164" s="187">
        <v>0</v>
      </c>
      <c r="R164" s="188">
        <f t="shared" si="56"/>
        <v>-152.78553516805536</v>
      </c>
    </row>
    <row r="165" spans="1:19" x14ac:dyDescent="0.25">
      <c r="A165" s="145">
        <v>2</v>
      </c>
      <c r="B165" s="180">
        <f t="shared" si="49"/>
        <v>44958</v>
      </c>
      <c r="C165" s="200">
        <f t="shared" si="57"/>
        <v>44988</v>
      </c>
      <c r="D165" s="200">
        <f t="shared" si="57"/>
        <v>45009</v>
      </c>
      <c r="E165" s="208" t="s">
        <v>57</v>
      </c>
      <c r="F165" s="145">
        <v>9</v>
      </c>
      <c r="G165" s="182">
        <v>10</v>
      </c>
      <c r="H165" s="183">
        <f t="shared" si="50"/>
        <v>1391.1942737059592</v>
      </c>
      <c r="I165" s="183">
        <f t="shared" si="48"/>
        <v>1371.0212071439194</v>
      </c>
      <c r="J165" s="184">
        <f t="shared" si="51"/>
        <v>13710.212071439193</v>
      </c>
      <c r="K165" s="185">
        <f t="shared" si="45"/>
        <v>13911.942737059591</v>
      </c>
      <c r="L165" s="186">
        <f t="shared" si="58"/>
        <v>-201.73066562039821</v>
      </c>
      <c r="M165" s="187">
        <f t="shared" si="52"/>
        <v>-16.534384619680861</v>
      </c>
      <c r="N165" s="188">
        <f t="shared" si="53"/>
        <v>-218.26505024007906</v>
      </c>
      <c r="O165" s="187">
        <f t="shared" si="54"/>
        <v>0</v>
      </c>
      <c r="P165" s="187">
        <f t="shared" si="55"/>
        <v>0</v>
      </c>
      <c r="Q165" s="187">
        <v>0</v>
      </c>
      <c r="R165" s="188">
        <f t="shared" si="56"/>
        <v>-218.26505024007906</v>
      </c>
    </row>
    <row r="166" spans="1:19" x14ac:dyDescent="0.25">
      <c r="A166" s="145">
        <v>3</v>
      </c>
      <c r="B166" s="180">
        <f t="shared" si="49"/>
        <v>44986</v>
      </c>
      <c r="C166" s="200">
        <f t="shared" si="57"/>
        <v>45021</v>
      </c>
      <c r="D166" s="200">
        <f t="shared" si="57"/>
        <v>45040</v>
      </c>
      <c r="E166" s="208" t="s">
        <v>57</v>
      </c>
      <c r="F166" s="145">
        <v>9</v>
      </c>
      <c r="G166" s="182">
        <v>8</v>
      </c>
      <c r="H166" s="183">
        <f t="shared" si="50"/>
        <v>1391.1942737059592</v>
      </c>
      <c r="I166" s="183">
        <f t="shared" si="48"/>
        <v>1371.0212071439194</v>
      </c>
      <c r="J166" s="184">
        <f t="shared" si="51"/>
        <v>10968.169657151355</v>
      </c>
      <c r="K166" s="185">
        <f t="shared" si="45"/>
        <v>11129.554189647673</v>
      </c>
      <c r="L166" s="186">
        <f>+J166-K166</f>
        <v>-161.38453249631857</v>
      </c>
      <c r="M166" s="187">
        <f t="shared" si="52"/>
        <v>-13.227507695744688</v>
      </c>
      <c r="N166" s="188">
        <f t="shared" si="53"/>
        <v>-174.61204019206326</v>
      </c>
      <c r="O166" s="187">
        <f t="shared" si="54"/>
        <v>0</v>
      </c>
      <c r="P166" s="187">
        <f t="shared" si="55"/>
        <v>0</v>
      </c>
      <c r="Q166" s="187">
        <v>0</v>
      </c>
      <c r="R166" s="188">
        <f t="shared" si="56"/>
        <v>-174.61204019206326</v>
      </c>
    </row>
    <row r="167" spans="1:19" x14ac:dyDescent="0.25">
      <c r="A167" s="111">
        <v>4</v>
      </c>
      <c r="B167" s="180">
        <f t="shared" si="49"/>
        <v>45017</v>
      </c>
      <c r="C167" s="200">
        <f t="shared" si="57"/>
        <v>45049</v>
      </c>
      <c r="D167" s="200">
        <f t="shared" si="57"/>
        <v>45070</v>
      </c>
      <c r="E167" s="208" t="s">
        <v>57</v>
      </c>
      <c r="F167" s="145">
        <v>9</v>
      </c>
      <c r="G167" s="182">
        <v>8</v>
      </c>
      <c r="H167" s="183">
        <f t="shared" si="50"/>
        <v>1391.1942737059592</v>
      </c>
      <c r="I167" s="183">
        <f t="shared" si="48"/>
        <v>1371.0212071439194</v>
      </c>
      <c r="J167" s="184">
        <f t="shared" si="51"/>
        <v>10968.169657151355</v>
      </c>
      <c r="K167" s="185">
        <f t="shared" si="45"/>
        <v>11129.554189647673</v>
      </c>
      <c r="L167" s="186">
        <f t="shared" ref="L167:L177" si="59">+J167-K167</f>
        <v>-161.38453249631857</v>
      </c>
      <c r="M167" s="187">
        <f t="shared" si="52"/>
        <v>-13.227507695744688</v>
      </c>
      <c r="N167" s="188">
        <f t="shared" si="53"/>
        <v>-174.61204019206326</v>
      </c>
      <c r="O167" s="187">
        <f t="shared" si="54"/>
        <v>0</v>
      </c>
      <c r="P167" s="187">
        <f t="shared" si="55"/>
        <v>0</v>
      </c>
      <c r="Q167" s="187">
        <v>0</v>
      </c>
      <c r="R167" s="188">
        <f t="shared" si="56"/>
        <v>-174.61204019206326</v>
      </c>
    </row>
    <row r="168" spans="1:19" x14ac:dyDescent="0.25">
      <c r="A168" s="145">
        <v>5</v>
      </c>
      <c r="B168" s="180">
        <f t="shared" si="49"/>
        <v>45047</v>
      </c>
      <c r="C168" s="200">
        <f t="shared" si="57"/>
        <v>45082</v>
      </c>
      <c r="D168" s="200">
        <f t="shared" si="57"/>
        <v>45103</v>
      </c>
      <c r="E168" s="208" t="s">
        <v>57</v>
      </c>
      <c r="F168" s="145">
        <v>9</v>
      </c>
      <c r="G168" s="182">
        <v>10</v>
      </c>
      <c r="H168" s="183">
        <f t="shared" si="50"/>
        <v>1391.1942737059592</v>
      </c>
      <c r="I168" s="183">
        <f t="shared" si="48"/>
        <v>1371.0212071439194</v>
      </c>
      <c r="J168" s="184">
        <f t="shared" si="51"/>
        <v>13710.212071439193</v>
      </c>
      <c r="K168" s="185">
        <f t="shared" si="45"/>
        <v>13911.942737059591</v>
      </c>
      <c r="L168" s="186">
        <f t="shared" si="59"/>
        <v>-201.73066562039821</v>
      </c>
      <c r="M168" s="187">
        <f t="shared" si="52"/>
        <v>-16.534384619680861</v>
      </c>
      <c r="N168" s="188">
        <f t="shared" si="53"/>
        <v>-218.26505024007906</v>
      </c>
      <c r="O168" s="187">
        <f t="shared" si="54"/>
        <v>0</v>
      </c>
      <c r="P168" s="187">
        <f t="shared" si="55"/>
        <v>0</v>
      </c>
      <c r="Q168" s="187">
        <v>0</v>
      </c>
      <c r="R168" s="188">
        <f t="shared" si="56"/>
        <v>-218.26505024007906</v>
      </c>
    </row>
    <row r="169" spans="1:19" x14ac:dyDescent="0.25">
      <c r="A169" s="145">
        <v>6</v>
      </c>
      <c r="B169" s="180">
        <f t="shared" si="49"/>
        <v>45078</v>
      </c>
      <c r="C169" s="200">
        <f t="shared" si="57"/>
        <v>45112</v>
      </c>
      <c r="D169" s="200">
        <f t="shared" si="57"/>
        <v>45131</v>
      </c>
      <c r="E169" s="208" t="s">
        <v>57</v>
      </c>
      <c r="F169" s="145">
        <v>9</v>
      </c>
      <c r="G169" s="182">
        <v>12</v>
      </c>
      <c r="H169" s="183">
        <f t="shared" si="50"/>
        <v>1391.1942737059592</v>
      </c>
      <c r="I169" s="183">
        <f t="shared" si="48"/>
        <v>1371.0212071439194</v>
      </c>
      <c r="J169" s="184">
        <f t="shared" si="51"/>
        <v>16452.254485727033</v>
      </c>
      <c r="K169" s="185">
        <f t="shared" si="45"/>
        <v>16694.331284471511</v>
      </c>
      <c r="L169" s="190">
        <f t="shared" si="59"/>
        <v>-242.07679874447786</v>
      </c>
      <c r="M169" s="187">
        <f t="shared" si="52"/>
        <v>-19.841261543617033</v>
      </c>
      <c r="N169" s="188">
        <f t="shared" si="53"/>
        <v>-261.91806028809486</v>
      </c>
      <c r="O169" s="187">
        <f t="shared" si="54"/>
        <v>0</v>
      </c>
      <c r="P169" s="187">
        <f t="shared" si="55"/>
        <v>0</v>
      </c>
      <c r="Q169" s="187">
        <v>0</v>
      </c>
      <c r="R169" s="188">
        <f t="shared" si="56"/>
        <v>-261.91806028809486</v>
      </c>
    </row>
    <row r="170" spans="1:19" x14ac:dyDescent="0.25">
      <c r="A170" s="111">
        <v>7</v>
      </c>
      <c r="B170" s="180">
        <f t="shared" si="49"/>
        <v>45108</v>
      </c>
      <c r="C170" s="200">
        <f t="shared" si="57"/>
        <v>45141</v>
      </c>
      <c r="D170" s="200">
        <f t="shared" si="57"/>
        <v>45162</v>
      </c>
      <c r="E170" s="208" t="s">
        <v>57</v>
      </c>
      <c r="F170" s="145">
        <v>9</v>
      </c>
      <c r="G170" s="182">
        <v>14</v>
      </c>
      <c r="H170" s="183">
        <f t="shared" si="50"/>
        <v>1391.1942737059592</v>
      </c>
      <c r="I170" s="183">
        <f t="shared" si="48"/>
        <v>1371.0212071439194</v>
      </c>
      <c r="J170" s="184">
        <f t="shared" si="51"/>
        <v>19194.29690001487</v>
      </c>
      <c r="K170" s="191">
        <f t="shared" si="45"/>
        <v>19476.719831883427</v>
      </c>
      <c r="L170" s="190">
        <f t="shared" si="59"/>
        <v>-282.4229318685575</v>
      </c>
      <c r="M170" s="187">
        <f t="shared" si="52"/>
        <v>-23.148138467553206</v>
      </c>
      <c r="N170" s="188">
        <f t="shared" si="53"/>
        <v>-305.57107033611072</v>
      </c>
      <c r="O170" s="187">
        <f t="shared" si="54"/>
        <v>0</v>
      </c>
      <c r="P170" s="187">
        <f t="shared" si="55"/>
        <v>0</v>
      </c>
      <c r="Q170" s="187">
        <v>0</v>
      </c>
      <c r="R170" s="188">
        <f t="shared" si="56"/>
        <v>-305.57107033611072</v>
      </c>
    </row>
    <row r="171" spans="1:19" x14ac:dyDescent="0.25">
      <c r="A171" s="145">
        <v>8</v>
      </c>
      <c r="B171" s="180">
        <f t="shared" si="49"/>
        <v>45139</v>
      </c>
      <c r="C171" s="200">
        <f t="shared" si="57"/>
        <v>45174</v>
      </c>
      <c r="D171" s="200">
        <f t="shared" si="57"/>
        <v>45194</v>
      </c>
      <c r="E171" s="208" t="s">
        <v>57</v>
      </c>
      <c r="F171" s="111">
        <v>9</v>
      </c>
      <c r="G171" s="182">
        <v>13</v>
      </c>
      <c r="H171" s="183">
        <f t="shared" si="50"/>
        <v>1391.1942737059592</v>
      </c>
      <c r="I171" s="183">
        <f t="shared" si="48"/>
        <v>1371.0212071439194</v>
      </c>
      <c r="J171" s="184">
        <f t="shared" si="51"/>
        <v>17823.275692870953</v>
      </c>
      <c r="K171" s="191">
        <f t="shared" si="45"/>
        <v>18085.525558177469</v>
      </c>
      <c r="L171" s="190">
        <f t="shared" si="59"/>
        <v>-262.24986530651586</v>
      </c>
      <c r="M171" s="187">
        <f t="shared" si="52"/>
        <v>-21.49470000558512</v>
      </c>
      <c r="N171" s="188">
        <f t="shared" si="53"/>
        <v>-283.74456531210097</v>
      </c>
      <c r="O171" s="187">
        <f t="shared" si="54"/>
        <v>0</v>
      </c>
      <c r="P171" s="187">
        <f t="shared" si="55"/>
        <v>0</v>
      </c>
      <c r="Q171" s="187">
        <v>0</v>
      </c>
      <c r="R171" s="188">
        <f t="shared" si="56"/>
        <v>-283.74456531210097</v>
      </c>
      <c r="S171" s="50"/>
    </row>
    <row r="172" spans="1:19" x14ac:dyDescent="0.25">
      <c r="A172" s="145">
        <v>9</v>
      </c>
      <c r="B172" s="180">
        <f t="shared" si="49"/>
        <v>45170</v>
      </c>
      <c r="C172" s="200">
        <f t="shared" ref="C172:D175" si="60">+C160</f>
        <v>45203</v>
      </c>
      <c r="D172" s="200">
        <f t="shared" si="60"/>
        <v>45223</v>
      </c>
      <c r="E172" s="208" t="s">
        <v>57</v>
      </c>
      <c r="F172" s="111">
        <v>9</v>
      </c>
      <c r="G172" s="182">
        <v>13</v>
      </c>
      <c r="H172" s="183">
        <f t="shared" si="50"/>
        <v>1391.1942737059592</v>
      </c>
      <c r="I172" s="183">
        <f t="shared" si="48"/>
        <v>1371.0212071439194</v>
      </c>
      <c r="J172" s="184">
        <f t="shared" si="51"/>
        <v>17823.275692870953</v>
      </c>
      <c r="K172" s="191">
        <f t="shared" si="45"/>
        <v>18085.525558177469</v>
      </c>
      <c r="L172" s="190">
        <f t="shared" si="59"/>
        <v>-262.24986530651586</v>
      </c>
      <c r="M172" s="187">
        <f t="shared" si="52"/>
        <v>-21.49470000558512</v>
      </c>
      <c r="N172" s="188">
        <f t="shared" si="53"/>
        <v>-283.74456531210097</v>
      </c>
      <c r="O172" s="187">
        <f t="shared" si="54"/>
        <v>0</v>
      </c>
      <c r="P172" s="187">
        <f t="shared" si="55"/>
        <v>0</v>
      </c>
      <c r="Q172" s="187">
        <v>0</v>
      </c>
      <c r="R172" s="188">
        <f t="shared" si="56"/>
        <v>-283.74456531210097</v>
      </c>
    </row>
    <row r="173" spans="1:19" x14ac:dyDescent="0.25">
      <c r="A173" s="111">
        <v>10</v>
      </c>
      <c r="B173" s="180">
        <f t="shared" si="49"/>
        <v>45200</v>
      </c>
      <c r="C173" s="200">
        <f t="shared" si="60"/>
        <v>45233</v>
      </c>
      <c r="D173" s="200">
        <f t="shared" si="60"/>
        <v>45254</v>
      </c>
      <c r="E173" s="208" t="s">
        <v>57</v>
      </c>
      <c r="F173" s="111">
        <v>9</v>
      </c>
      <c r="G173" s="182">
        <v>11</v>
      </c>
      <c r="H173" s="183">
        <f t="shared" si="50"/>
        <v>1391.1942737059592</v>
      </c>
      <c r="I173" s="183">
        <f t="shared" si="48"/>
        <v>1371.0212071439194</v>
      </c>
      <c r="J173" s="184">
        <f t="shared" si="51"/>
        <v>15081.233278583113</v>
      </c>
      <c r="K173" s="191">
        <f t="shared" si="45"/>
        <v>15303.137010765551</v>
      </c>
      <c r="L173" s="190">
        <f t="shared" si="59"/>
        <v>-221.90373218243803</v>
      </c>
      <c r="M173" s="187">
        <f t="shared" si="52"/>
        <v>-18.187823081648951</v>
      </c>
      <c r="N173" s="188">
        <f t="shared" si="53"/>
        <v>-240.09155526408699</v>
      </c>
      <c r="O173" s="187">
        <f t="shared" si="54"/>
        <v>0</v>
      </c>
      <c r="P173" s="187">
        <f t="shared" si="55"/>
        <v>0</v>
      </c>
      <c r="Q173" s="187">
        <v>0</v>
      </c>
      <c r="R173" s="188">
        <f t="shared" si="56"/>
        <v>-240.09155526408699</v>
      </c>
    </row>
    <row r="174" spans="1:19" x14ac:dyDescent="0.25">
      <c r="A174" s="145">
        <v>11</v>
      </c>
      <c r="B174" s="180">
        <f t="shared" si="49"/>
        <v>45231</v>
      </c>
      <c r="C174" s="200">
        <f t="shared" si="60"/>
        <v>45266</v>
      </c>
      <c r="D174" s="200">
        <f t="shared" si="60"/>
        <v>45285</v>
      </c>
      <c r="E174" s="208" t="s">
        <v>57</v>
      </c>
      <c r="F174" s="111">
        <v>9</v>
      </c>
      <c r="G174" s="182">
        <v>7</v>
      </c>
      <c r="H174" s="183">
        <f t="shared" si="50"/>
        <v>1391.1942737059592</v>
      </c>
      <c r="I174" s="183">
        <f t="shared" si="48"/>
        <v>1371.0212071439194</v>
      </c>
      <c r="J174" s="184">
        <f t="shared" si="51"/>
        <v>9597.1484500074348</v>
      </c>
      <c r="K174" s="191">
        <f t="shared" si="45"/>
        <v>9738.3599159417136</v>
      </c>
      <c r="L174" s="190">
        <f t="shared" si="59"/>
        <v>-141.21146593427875</v>
      </c>
      <c r="M174" s="187">
        <f t="shared" si="52"/>
        <v>-11.574069233776603</v>
      </c>
      <c r="N174" s="188">
        <f t="shared" si="53"/>
        <v>-152.78553516805536</v>
      </c>
      <c r="O174" s="187">
        <f t="shared" si="54"/>
        <v>0</v>
      </c>
      <c r="P174" s="187">
        <f t="shared" si="55"/>
        <v>0</v>
      </c>
      <c r="Q174" s="187">
        <v>0</v>
      </c>
      <c r="R174" s="188">
        <f t="shared" si="56"/>
        <v>-152.78553516805536</v>
      </c>
    </row>
    <row r="175" spans="1:19" s="204" customFormat="1" x14ac:dyDescent="0.25">
      <c r="A175" s="145">
        <v>12</v>
      </c>
      <c r="B175" s="202">
        <f t="shared" si="49"/>
        <v>45261</v>
      </c>
      <c r="C175" s="200">
        <f t="shared" si="60"/>
        <v>45294</v>
      </c>
      <c r="D175" s="200">
        <f t="shared" si="60"/>
        <v>45315</v>
      </c>
      <c r="E175" s="209" t="s">
        <v>57</v>
      </c>
      <c r="F175" s="156">
        <v>9</v>
      </c>
      <c r="G175" s="182">
        <v>8</v>
      </c>
      <c r="H175" s="192">
        <f t="shared" si="50"/>
        <v>1391.1942737059592</v>
      </c>
      <c r="I175" s="192">
        <f t="shared" si="48"/>
        <v>1371.0212071439194</v>
      </c>
      <c r="J175" s="193">
        <f t="shared" si="51"/>
        <v>10968.169657151355</v>
      </c>
      <c r="K175" s="194">
        <f t="shared" si="45"/>
        <v>11129.554189647673</v>
      </c>
      <c r="L175" s="195">
        <f t="shared" si="59"/>
        <v>-161.38453249631857</v>
      </c>
      <c r="M175" s="187">
        <f t="shared" si="52"/>
        <v>-13.227507695744688</v>
      </c>
      <c r="N175" s="188">
        <f t="shared" si="53"/>
        <v>-174.61204019206326</v>
      </c>
      <c r="O175" s="187">
        <f t="shared" si="54"/>
        <v>0</v>
      </c>
      <c r="P175" s="187">
        <f t="shared" si="55"/>
        <v>0</v>
      </c>
      <c r="Q175" s="187">
        <v>0</v>
      </c>
      <c r="R175" s="188">
        <f t="shared" si="56"/>
        <v>-174.61204019206326</v>
      </c>
    </row>
    <row r="176" spans="1:19" x14ac:dyDescent="0.25">
      <c r="A176" s="111">
        <v>1</v>
      </c>
      <c r="B176" s="180">
        <f t="shared" si="49"/>
        <v>44927</v>
      </c>
      <c r="C176" s="197">
        <f t="shared" ref="C176:D187" si="61">+C152</f>
        <v>44960</v>
      </c>
      <c r="D176" s="197">
        <f t="shared" si="61"/>
        <v>44981</v>
      </c>
      <c r="E176" s="207" t="s">
        <v>58</v>
      </c>
      <c r="F176" s="145">
        <v>9</v>
      </c>
      <c r="G176" s="182">
        <v>21</v>
      </c>
      <c r="H176" s="183">
        <f t="shared" si="50"/>
        <v>1391.1942737059592</v>
      </c>
      <c r="I176" s="183">
        <f t="shared" si="48"/>
        <v>1371.0212071439194</v>
      </c>
      <c r="J176" s="184">
        <f t="shared" si="51"/>
        <v>28791.445350022306</v>
      </c>
      <c r="K176" s="185">
        <f t="shared" si="45"/>
        <v>29215.079747825144</v>
      </c>
      <c r="L176" s="186">
        <f t="shared" si="59"/>
        <v>-423.63439780283807</v>
      </c>
      <c r="M176" s="187">
        <f t="shared" si="52"/>
        <v>-34.722207701329808</v>
      </c>
      <c r="N176" s="188">
        <f t="shared" si="53"/>
        <v>-458.35660550416787</v>
      </c>
      <c r="O176" s="187">
        <f t="shared" si="54"/>
        <v>0</v>
      </c>
      <c r="P176" s="187">
        <f t="shared" si="55"/>
        <v>0</v>
      </c>
      <c r="Q176" s="187">
        <v>0</v>
      </c>
      <c r="R176" s="188">
        <f t="shared" si="56"/>
        <v>-458.35660550416787</v>
      </c>
    </row>
    <row r="177" spans="1:18" x14ac:dyDescent="0.25">
      <c r="A177" s="145">
        <v>2</v>
      </c>
      <c r="B177" s="180">
        <f t="shared" si="49"/>
        <v>44958</v>
      </c>
      <c r="C177" s="200">
        <f t="shared" si="61"/>
        <v>44988</v>
      </c>
      <c r="D177" s="200">
        <f t="shared" si="61"/>
        <v>45009</v>
      </c>
      <c r="E177" s="52" t="s">
        <v>58</v>
      </c>
      <c r="F177" s="145">
        <v>9</v>
      </c>
      <c r="G177" s="182">
        <v>21</v>
      </c>
      <c r="H177" s="183">
        <f t="shared" si="50"/>
        <v>1391.1942737059592</v>
      </c>
      <c r="I177" s="183">
        <f t="shared" si="48"/>
        <v>1371.0212071439194</v>
      </c>
      <c r="J177" s="184">
        <f t="shared" si="51"/>
        <v>28791.445350022306</v>
      </c>
      <c r="K177" s="185">
        <f t="shared" si="45"/>
        <v>29215.079747825144</v>
      </c>
      <c r="L177" s="186">
        <f t="shared" si="59"/>
        <v>-423.63439780283807</v>
      </c>
      <c r="M177" s="187">
        <f t="shared" si="52"/>
        <v>-34.722207701329808</v>
      </c>
      <c r="N177" s="188">
        <f t="shared" si="53"/>
        <v>-458.35660550416787</v>
      </c>
      <c r="O177" s="187">
        <f t="shared" si="54"/>
        <v>0</v>
      </c>
      <c r="P177" s="187">
        <f t="shared" si="55"/>
        <v>0</v>
      </c>
      <c r="Q177" s="187">
        <v>0</v>
      </c>
      <c r="R177" s="188">
        <f t="shared" si="56"/>
        <v>-458.35660550416787</v>
      </c>
    </row>
    <row r="178" spans="1:18" x14ac:dyDescent="0.25">
      <c r="A178" s="145">
        <v>3</v>
      </c>
      <c r="B178" s="180">
        <f t="shared" si="49"/>
        <v>44986</v>
      </c>
      <c r="C178" s="200">
        <f t="shared" si="61"/>
        <v>45021</v>
      </c>
      <c r="D178" s="200">
        <f t="shared" si="61"/>
        <v>45040</v>
      </c>
      <c r="E178" s="52" t="s">
        <v>58</v>
      </c>
      <c r="F178" s="145">
        <v>9</v>
      </c>
      <c r="G178" s="182">
        <v>19</v>
      </c>
      <c r="H178" s="183">
        <f t="shared" si="50"/>
        <v>1391.1942737059592</v>
      </c>
      <c r="I178" s="183">
        <f t="shared" si="48"/>
        <v>1371.0212071439194</v>
      </c>
      <c r="J178" s="184">
        <f t="shared" si="51"/>
        <v>26049.402935734466</v>
      </c>
      <c r="K178" s="185">
        <f t="shared" si="45"/>
        <v>26432.691200413225</v>
      </c>
      <c r="L178" s="186">
        <f>+J178-K178</f>
        <v>-383.28826467875842</v>
      </c>
      <c r="M178" s="187">
        <f t="shared" si="52"/>
        <v>-31.415330777393638</v>
      </c>
      <c r="N178" s="188">
        <f t="shared" si="53"/>
        <v>-414.70359545615207</v>
      </c>
      <c r="O178" s="187">
        <f t="shared" si="54"/>
        <v>0</v>
      </c>
      <c r="P178" s="187">
        <f t="shared" si="55"/>
        <v>0</v>
      </c>
      <c r="Q178" s="187">
        <v>0</v>
      </c>
      <c r="R178" s="188">
        <f t="shared" si="56"/>
        <v>-414.70359545615207</v>
      </c>
    </row>
    <row r="179" spans="1:18" x14ac:dyDescent="0.25">
      <c r="A179" s="111">
        <v>4</v>
      </c>
      <c r="B179" s="180">
        <f t="shared" si="49"/>
        <v>45017</v>
      </c>
      <c r="C179" s="200">
        <f t="shared" si="61"/>
        <v>45049</v>
      </c>
      <c r="D179" s="200">
        <f t="shared" si="61"/>
        <v>45070</v>
      </c>
      <c r="E179" s="52" t="s">
        <v>58</v>
      </c>
      <c r="F179" s="145">
        <v>9</v>
      </c>
      <c r="G179" s="182">
        <v>21</v>
      </c>
      <c r="H179" s="183">
        <f t="shared" si="50"/>
        <v>1391.1942737059592</v>
      </c>
      <c r="I179" s="183">
        <f t="shared" si="48"/>
        <v>1371.0212071439194</v>
      </c>
      <c r="J179" s="184">
        <f t="shared" si="51"/>
        <v>28791.445350022306</v>
      </c>
      <c r="K179" s="185">
        <f t="shared" si="45"/>
        <v>29215.079747825144</v>
      </c>
      <c r="L179" s="186">
        <f t="shared" ref="L179:L189" si="62">+J179-K179</f>
        <v>-423.63439780283807</v>
      </c>
      <c r="M179" s="187">
        <f t="shared" si="52"/>
        <v>-34.722207701329808</v>
      </c>
      <c r="N179" s="188">
        <f t="shared" si="53"/>
        <v>-458.35660550416787</v>
      </c>
      <c r="O179" s="187">
        <f t="shared" si="54"/>
        <v>0</v>
      </c>
      <c r="P179" s="187">
        <f t="shared" si="55"/>
        <v>0</v>
      </c>
      <c r="Q179" s="187">
        <v>0</v>
      </c>
      <c r="R179" s="188">
        <f t="shared" si="56"/>
        <v>-458.35660550416787</v>
      </c>
    </row>
    <row r="180" spans="1:18" x14ac:dyDescent="0.25">
      <c r="A180" s="145">
        <v>5</v>
      </c>
      <c r="B180" s="180">
        <f t="shared" si="49"/>
        <v>45047</v>
      </c>
      <c r="C180" s="200">
        <f t="shared" si="61"/>
        <v>45082</v>
      </c>
      <c r="D180" s="200">
        <f t="shared" si="61"/>
        <v>45103</v>
      </c>
      <c r="E180" s="52" t="s">
        <v>58</v>
      </c>
      <c r="F180" s="145">
        <v>9</v>
      </c>
      <c r="G180" s="182">
        <v>28</v>
      </c>
      <c r="H180" s="183">
        <f t="shared" si="50"/>
        <v>1391.1942737059592</v>
      </c>
      <c r="I180" s="183">
        <f t="shared" ref="I180:I211" si="63">$J$3</f>
        <v>1371.0212071439194</v>
      </c>
      <c r="J180" s="184">
        <f t="shared" si="51"/>
        <v>38388.593800029739</v>
      </c>
      <c r="K180" s="185">
        <f t="shared" si="45"/>
        <v>38953.439663766854</v>
      </c>
      <c r="L180" s="186">
        <f t="shared" si="62"/>
        <v>-564.845863737115</v>
      </c>
      <c r="M180" s="187">
        <f t="shared" si="52"/>
        <v>-46.296276935106413</v>
      </c>
      <c r="N180" s="188">
        <f t="shared" si="53"/>
        <v>-611.14214067222144</v>
      </c>
      <c r="O180" s="187">
        <f t="shared" si="54"/>
        <v>0</v>
      </c>
      <c r="P180" s="187">
        <f t="shared" si="55"/>
        <v>0</v>
      </c>
      <c r="Q180" s="187">
        <v>0</v>
      </c>
      <c r="R180" s="188">
        <f t="shared" si="56"/>
        <v>-611.14214067222144</v>
      </c>
    </row>
    <row r="181" spans="1:18" x14ac:dyDescent="0.25">
      <c r="A181" s="145">
        <v>6</v>
      </c>
      <c r="B181" s="180">
        <f t="shared" si="49"/>
        <v>45078</v>
      </c>
      <c r="C181" s="200">
        <f t="shared" si="61"/>
        <v>45112</v>
      </c>
      <c r="D181" s="200">
        <f t="shared" si="61"/>
        <v>45131</v>
      </c>
      <c r="E181" s="52" t="s">
        <v>58</v>
      </c>
      <c r="F181" s="145">
        <v>9</v>
      </c>
      <c r="G181" s="182">
        <v>37</v>
      </c>
      <c r="H181" s="183">
        <f t="shared" si="50"/>
        <v>1391.1942737059592</v>
      </c>
      <c r="I181" s="183">
        <f t="shared" si="63"/>
        <v>1371.0212071439194</v>
      </c>
      <c r="J181" s="184">
        <f t="shared" si="51"/>
        <v>50727.784664325016</v>
      </c>
      <c r="K181" s="185">
        <f t="shared" si="45"/>
        <v>51474.188127120491</v>
      </c>
      <c r="L181" s="190">
        <f t="shared" si="62"/>
        <v>-746.40346279547521</v>
      </c>
      <c r="M181" s="187">
        <f t="shared" si="52"/>
        <v>-61.177223092819183</v>
      </c>
      <c r="N181" s="188">
        <f t="shared" si="53"/>
        <v>-807.5806858882944</v>
      </c>
      <c r="O181" s="187">
        <f t="shared" si="54"/>
        <v>0</v>
      </c>
      <c r="P181" s="187">
        <f t="shared" si="55"/>
        <v>0</v>
      </c>
      <c r="Q181" s="187">
        <v>0</v>
      </c>
      <c r="R181" s="188">
        <f t="shared" si="56"/>
        <v>-807.5806858882944</v>
      </c>
    </row>
    <row r="182" spans="1:18" x14ac:dyDescent="0.25">
      <c r="A182" s="111">
        <v>7</v>
      </c>
      <c r="B182" s="180">
        <f t="shared" si="49"/>
        <v>45108</v>
      </c>
      <c r="C182" s="200">
        <f t="shared" si="61"/>
        <v>45141</v>
      </c>
      <c r="D182" s="200">
        <f t="shared" si="61"/>
        <v>45162</v>
      </c>
      <c r="E182" s="52" t="s">
        <v>58</v>
      </c>
      <c r="F182" s="145">
        <v>9</v>
      </c>
      <c r="G182" s="182">
        <v>38</v>
      </c>
      <c r="H182" s="183">
        <f t="shared" si="50"/>
        <v>1391.1942737059592</v>
      </c>
      <c r="I182" s="183">
        <f t="shared" si="63"/>
        <v>1371.0212071439194</v>
      </c>
      <c r="J182" s="184">
        <f t="shared" si="51"/>
        <v>52098.805871468932</v>
      </c>
      <c r="K182" s="191">
        <f t="shared" si="45"/>
        <v>52865.382400826449</v>
      </c>
      <c r="L182" s="190">
        <f t="shared" si="62"/>
        <v>-766.57652935751685</v>
      </c>
      <c r="M182" s="187">
        <f t="shared" si="52"/>
        <v>-62.830661554787277</v>
      </c>
      <c r="N182" s="188">
        <f t="shared" si="53"/>
        <v>-829.40719091230415</v>
      </c>
      <c r="O182" s="187">
        <f t="shared" si="54"/>
        <v>0</v>
      </c>
      <c r="P182" s="187">
        <f t="shared" si="55"/>
        <v>0</v>
      </c>
      <c r="Q182" s="187">
        <v>0</v>
      </c>
      <c r="R182" s="188">
        <f t="shared" si="56"/>
        <v>-829.40719091230415</v>
      </c>
    </row>
    <row r="183" spans="1:18" x14ac:dyDescent="0.25">
      <c r="A183" s="145">
        <v>8</v>
      </c>
      <c r="B183" s="180">
        <f t="shared" si="49"/>
        <v>45139</v>
      </c>
      <c r="C183" s="200">
        <f t="shared" si="61"/>
        <v>45174</v>
      </c>
      <c r="D183" s="200">
        <f t="shared" si="61"/>
        <v>45194</v>
      </c>
      <c r="E183" s="52" t="s">
        <v>58</v>
      </c>
      <c r="F183" s="145">
        <v>9</v>
      </c>
      <c r="G183" s="182">
        <v>40</v>
      </c>
      <c r="H183" s="183">
        <f t="shared" si="50"/>
        <v>1391.1942737059592</v>
      </c>
      <c r="I183" s="183">
        <f t="shared" si="63"/>
        <v>1371.0212071439194</v>
      </c>
      <c r="J183" s="184">
        <f t="shared" si="51"/>
        <v>54840.848285756772</v>
      </c>
      <c r="K183" s="191">
        <f t="shared" si="45"/>
        <v>55647.770948238365</v>
      </c>
      <c r="L183" s="190">
        <f t="shared" si="62"/>
        <v>-806.92266248159285</v>
      </c>
      <c r="M183" s="187">
        <f t="shared" si="52"/>
        <v>-66.137538478723442</v>
      </c>
      <c r="N183" s="188">
        <f t="shared" si="53"/>
        <v>-873.06020096031625</v>
      </c>
      <c r="O183" s="187">
        <f t="shared" si="54"/>
        <v>0</v>
      </c>
      <c r="P183" s="187">
        <f t="shared" si="55"/>
        <v>0</v>
      </c>
      <c r="Q183" s="187">
        <v>0</v>
      </c>
      <c r="R183" s="188">
        <f t="shared" si="56"/>
        <v>-873.06020096031625</v>
      </c>
    </row>
    <row r="184" spans="1:18" x14ac:dyDescent="0.25">
      <c r="A184" s="145">
        <v>9</v>
      </c>
      <c r="B184" s="180">
        <f t="shared" si="49"/>
        <v>45170</v>
      </c>
      <c r="C184" s="200">
        <f t="shared" si="61"/>
        <v>45203</v>
      </c>
      <c r="D184" s="200">
        <f t="shared" si="61"/>
        <v>45223</v>
      </c>
      <c r="E184" s="52" t="s">
        <v>58</v>
      </c>
      <c r="F184" s="145">
        <v>9</v>
      </c>
      <c r="G184" s="182">
        <v>37</v>
      </c>
      <c r="H184" s="183">
        <f t="shared" si="50"/>
        <v>1391.1942737059592</v>
      </c>
      <c r="I184" s="183">
        <f t="shared" si="63"/>
        <v>1371.0212071439194</v>
      </c>
      <c r="J184" s="184">
        <f t="shared" si="51"/>
        <v>50727.784664325016</v>
      </c>
      <c r="K184" s="191">
        <f t="shared" si="45"/>
        <v>51474.188127120491</v>
      </c>
      <c r="L184" s="190">
        <f t="shared" si="62"/>
        <v>-746.40346279547521</v>
      </c>
      <c r="M184" s="187">
        <f t="shared" si="52"/>
        <v>-61.177223092819183</v>
      </c>
      <c r="N184" s="188">
        <f t="shared" si="53"/>
        <v>-807.5806858882944</v>
      </c>
      <c r="O184" s="187">
        <f t="shared" si="54"/>
        <v>0</v>
      </c>
      <c r="P184" s="187">
        <f t="shared" si="55"/>
        <v>0</v>
      </c>
      <c r="Q184" s="187">
        <v>0</v>
      </c>
      <c r="R184" s="188">
        <f t="shared" si="56"/>
        <v>-807.5806858882944</v>
      </c>
    </row>
    <row r="185" spans="1:18" x14ac:dyDescent="0.25">
      <c r="A185" s="111">
        <v>10</v>
      </c>
      <c r="B185" s="180">
        <f t="shared" si="49"/>
        <v>45200</v>
      </c>
      <c r="C185" s="200">
        <f t="shared" si="61"/>
        <v>45233</v>
      </c>
      <c r="D185" s="200">
        <f t="shared" si="61"/>
        <v>45254</v>
      </c>
      <c r="E185" s="52" t="s">
        <v>58</v>
      </c>
      <c r="F185" s="145">
        <v>9</v>
      </c>
      <c r="G185" s="182">
        <v>30</v>
      </c>
      <c r="H185" s="183">
        <f t="shared" si="50"/>
        <v>1391.1942737059592</v>
      </c>
      <c r="I185" s="183">
        <f t="shared" si="63"/>
        <v>1371.0212071439194</v>
      </c>
      <c r="J185" s="184">
        <f t="shared" si="51"/>
        <v>41130.636214317579</v>
      </c>
      <c r="K185" s="191">
        <f t="shared" si="45"/>
        <v>41735.828211178778</v>
      </c>
      <c r="L185" s="190">
        <f t="shared" si="62"/>
        <v>-605.19199686119828</v>
      </c>
      <c r="M185" s="187">
        <f t="shared" si="52"/>
        <v>-49.603153859042585</v>
      </c>
      <c r="N185" s="188">
        <f t="shared" si="53"/>
        <v>-654.79515072024083</v>
      </c>
      <c r="O185" s="187">
        <f t="shared" si="54"/>
        <v>0</v>
      </c>
      <c r="P185" s="187">
        <f t="shared" si="55"/>
        <v>0</v>
      </c>
      <c r="Q185" s="187">
        <v>0</v>
      </c>
      <c r="R185" s="188">
        <f t="shared" si="56"/>
        <v>-654.79515072024083</v>
      </c>
    </row>
    <row r="186" spans="1:18" x14ac:dyDescent="0.25">
      <c r="A186" s="145">
        <v>11</v>
      </c>
      <c r="B186" s="180">
        <f t="shared" si="49"/>
        <v>45231</v>
      </c>
      <c r="C186" s="200">
        <f t="shared" si="61"/>
        <v>45266</v>
      </c>
      <c r="D186" s="200">
        <f t="shared" si="61"/>
        <v>45285</v>
      </c>
      <c r="E186" s="52" t="s">
        <v>58</v>
      </c>
      <c r="F186" s="145">
        <v>9</v>
      </c>
      <c r="G186" s="182">
        <v>19</v>
      </c>
      <c r="H186" s="183">
        <f t="shared" si="50"/>
        <v>1391.1942737059592</v>
      </c>
      <c r="I186" s="183">
        <f t="shared" si="63"/>
        <v>1371.0212071439194</v>
      </c>
      <c r="J186" s="184">
        <f t="shared" si="51"/>
        <v>26049.402935734466</v>
      </c>
      <c r="K186" s="191">
        <f t="shared" si="45"/>
        <v>26432.691200413225</v>
      </c>
      <c r="L186" s="190">
        <f t="shared" si="62"/>
        <v>-383.28826467875842</v>
      </c>
      <c r="M186" s="187">
        <f t="shared" si="52"/>
        <v>-31.415330777393638</v>
      </c>
      <c r="N186" s="188">
        <f t="shared" si="53"/>
        <v>-414.70359545615207</v>
      </c>
      <c r="O186" s="187">
        <f t="shared" si="54"/>
        <v>0</v>
      </c>
      <c r="P186" s="187">
        <f t="shared" si="55"/>
        <v>0</v>
      </c>
      <c r="Q186" s="187">
        <v>0</v>
      </c>
      <c r="R186" s="188">
        <f t="shared" si="56"/>
        <v>-414.70359545615207</v>
      </c>
    </row>
    <row r="187" spans="1:18" s="204" customFormat="1" x14ac:dyDescent="0.25">
      <c r="A187" s="145">
        <v>12</v>
      </c>
      <c r="B187" s="202">
        <f t="shared" si="49"/>
        <v>45261</v>
      </c>
      <c r="C187" s="200">
        <f t="shared" si="61"/>
        <v>45294</v>
      </c>
      <c r="D187" s="200">
        <f t="shared" si="61"/>
        <v>45315</v>
      </c>
      <c r="E187" s="203" t="s">
        <v>58</v>
      </c>
      <c r="F187" s="156">
        <v>9</v>
      </c>
      <c r="G187" s="182">
        <v>20</v>
      </c>
      <c r="H187" s="192">
        <f t="shared" si="50"/>
        <v>1391.1942737059592</v>
      </c>
      <c r="I187" s="192">
        <f t="shared" si="63"/>
        <v>1371.0212071439194</v>
      </c>
      <c r="J187" s="193">
        <f t="shared" si="51"/>
        <v>27420.424142878386</v>
      </c>
      <c r="K187" s="194">
        <f t="shared" si="45"/>
        <v>27823.885474119183</v>
      </c>
      <c r="L187" s="195">
        <f t="shared" si="62"/>
        <v>-403.46133124079643</v>
      </c>
      <c r="M187" s="187">
        <f t="shared" si="52"/>
        <v>-33.068769239361721</v>
      </c>
      <c r="N187" s="188">
        <f t="shared" si="53"/>
        <v>-436.53010048015813</v>
      </c>
      <c r="O187" s="187">
        <f t="shared" si="54"/>
        <v>0</v>
      </c>
      <c r="P187" s="187">
        <f t="shared" si="55"/>
        <v>0</v>
      </c>
      <c r="Q187" s="187">
        <v>0</v>
      </c>
      <c r="R187" s="188">
        <f t="shared" si="56"/>
        <v>-436.53010048015813</v>
      </c>
    </row>
    <row r="188" spans="1:18" x14ac:dyDescent="0.25">
      <c r="A188" s="111">
        <v>1</v>
      </c>
      <c r="B188" s="180">
        <f t="shared" si="49"/>
        <v>44927</v>
      </c>
      <c r="C188" s="197">
        <f t="shared" ref="C188:D211" si="64">+C176</f>
        <v>44960</v>
      </c>
      <c r="D188" s="197">
        <f t="shared" si="64"/>
        <v>44981</v>
      </c>
      <c r="E188" s="181" t="s">
        <v>59</v>
      </c>
      <c r="F188" s="111">
        <v>9</v>
      </c>
      <c r="G188" s="182">
        <v>36</v>
      </c>
      <c r="H188" s="183">
        <f t="shared" si="50"/>
        <v>1391.1942737059592</v>
      </c>
      <c r="I188" s="183">
        <f t="shared" si="63"/>
        <v>1371.0212071439194</v>
      </c>
      <c r="J188" s="184">
        <f t="shared" si="51"/>
        <v>49356.7634571811</v>
      </c>
      <c r="K188" s="185">
        <f t="shared" si="45"/>
        <v>50082.993853414533</v>
      </c>
      <c r="L188" s="186">
        <f t="shared" si="62"/>
        <v>-726.23039623343357</v>
      </c>
      <c r="M188" s="187">
        <f t="shared" si="52"/>
        <v>-59.523784630851104</v>
      </c>
      <c r="N188" s="188">
        <f t="shared" si="53"/>
        <v>-785.75418086428465</v>
      </c>
      <c r="O188" s="187">
        <f t="shared" si="54"/>
        <v>0</v>
      </c>
      <c r="P188" s="187">
        <f t="shared" si="55"/>
        <v>0</v>
      </c>
      <c r="Q188" s="187">
        <v>0</v>
      </c>
      <c r="R188" s="188">
        <f t="shared" si="56"/>
        <v>-785.75418086428465</v>
      </c>
    </row>
    <row r="189" spans="1:18" x14ac:dyDescent="0.25">
      <c r="A189" s="145">
        <v>2</v>
      </c>
      <c r="B189" s="180">
        <f t="shared" si="49"/>
        <v>44958</v>
      </c>
      <c r="C189" s="200">
        <f t="shared" si="64"/>
        <v>44988</v>
      </c>
      <c r="D189" s="200">
        <f t="shared" si="64"/>
        <v>45009</v>
      </c>
      <c r="E189" s="189" t="s">
        <v>59</v>
      </c>
      <c r="F189" s="145">
        <v>9</v>
      </c>
      <c r="G189" s="182">
        <v>32</v>
      </c>
      <c r="H189" s="183">
        <f t="shared" si="50"/>
        <v>1391.1942737059592</v>
      </c>
      <c r="I189" s="183">
        <f t="shared" si="63"/>
        <v>1371.0212071439194</v>
      </c>
      <c r="J189" s="184">
        <f t="shared" si="51"/>
        <v>43872.678628605419</v>
      </c>
      <c r="K189" s="185">
        <f t="shared" si="45"/>
        <v>44518.216758590694</v>
      </c>
      <c r="L189" s="186">
        <f t="shared" si="62"/>
        <v>-645.53812998527428</v>
      </c>
      <c r="M189" s="187">
        <f t="shared" si="52"/>
        <v>-52.910030782978751</v>
      </c>
      <c r="N189" s="188">
        <f t="shared" si="53"/>
        <v>-698.44816076825305</v>
      </c>
      <c r="O189" s="187">
        <f t="shared" si="54"/>
        <v>0</v>
      </c>
      <c r="P189" s="187">
        <f t="shared" si="55"/>
        <v>0</v>
      </c>
      <c r="Q189" s="187">
        <v>0</v>
      </c>
      <c r="R189" s="188">
        <f t="shared" si="56"/>
        <v>-698.44816076825305</v>
      </c>
    </row>
    <row r="190" spans="1:18" x14ac:dyDescent="0.25">
      <c r="A190" s="145">
        <v>3</v>
      </c>
      <c r="B190" s="180">
        <f t="shared" si="49"/>
        <v>44986</v>
      </c>
      <c r="C190" s="200">
        <f t="shared" si="64"/>
        <v>45021</v>
      </c>
      <c r="D190" s="200">
        <f t="shared" si="64"/>
        <v>45040</v>
      </c>
      <c r="E190" s="189" t="s">
        <v>59</v>
      </c>
      <c r="F190" s="145">
        <v>9</v>
      </c>
      <c r="G190" s="182">
        <v>32</v>
      </c>
      <c r="H190" s="183">
        <f t="shared" si="50"/>
        <v>1391.1942737059592</v>
      </c>
      <c r="I190" s="183">
        <f t="shared" si="63"/>
        <v>1371.0212071439194</v>
      </c>
      <c r="J190" s="184">
        <f t="shared" si="51"/>
        <v>43872.678628605419</v>
      </c>
      <c r="K190" s="185">
        <f t="shared" si="45"/>
        <v>44518.216758590694</v>
      </c>
      <c r="L190" s="186">
        <f>+J190-K190</f>
        <v>-645.53812998527428</v>
      </c>
      <c r="M190" s="187">
        <f t="shared" si="52"/>
        <v>-52.910030782978751</v>
      </c>
      <c r="N190" s="188">
        <f t="shared" si="53"/>
        <v>-698.44816076825305</v>
      </c>
      <c r="O190" s="187">
        <f t="shared" si="54"/>
        <v>0</v>
      </c>
      <c r="P190" s="187">
        <f t="shared" si="55"/>
        <v>0</v>
      </c>
      <c r="Q190" s="187">
        <v>0</v>
      </c>
      <c r="R190" s="188">
        <f t="shared" si="56"/>
        <v>-698.44816076825305</v>
      </c>
    </row>
    <row r="191" spans="1:18" x14ac:dyDescent="0.25">
      <c r="A191" s="111">
        <v>4</v>
      </c>
      <c r="B191" s="180">
        <f t="shared" si="49"/>
        <v>45017</v>
      </c>
      <c r="C191" s="200">
        <f t="shared" si="64"/>
        <v>45049</v>
      </c>
      <c r="D191" s="200">
        <f t="shared" si="64"/>
        <v>45070</v>
      </c>
      <c r="E191" s="52" t="s">
        <v>59</v>
      </c>
      <c r="F191" s="145">
        <v>9</v>
      </c>
      <c r="G191" s="182">
        <v>31</v>
      </c>
      <c r="H191" s="183">
        <f t="shared" si="50"/>
        <v>1391.1942737059592</v>
      </c>
      <c r="I191" s="183">
        <f t="shared" si="63"/>
        <v>1371.0212071439194</v>
      </c>
      <c r="J191" s="184">
        <f t="shared" si="51"/>
        <v>42501.657421461503</v>
      </c>
      <c r="K191" s="185">
        <f t="shared" si="45"/>
        <v>43127.022484884736</v>
      </c>
      <c r="L191" s="186">
        <f t="shared" ref="L191:L201" si="65">+J191-K191</f>
        <v>-625.36506342323264</v>
      </c>
      <c r="M191" s="187">
        <f t="shared" si="52"/>
        <v>-51.256592321010672</v>
      </c>
      <c r="N191" s="188">
        <f t="shared" si="53"/>
        <v>-676.6216557442433</v>
      </c>
      <c r="O191" s="187">
        <f t="shared" si="54"/>
        <v>0</v>
      </c>
      <c r="P191" s="187">
        <f t="shared" si="55"/>
        <v>0</v>
      </c>
      <c r="Q191" s="187">
        <v>0</v>
      </c>
      <c r="R191" s="188">
        <f t="shared" si="56"/>
        <v>-676.6216557442433</v>
      </c>
    </row>
    <row r="192" spans="1:18" x14ac:dyDescent="0.25">
      <c r="A192" s="145">
        <v>5</v>
      </c>
      <c r="B192" s="180">
        <f t="shared" si="49"/>
        <v>45047</v>
      </c>
      <c r="C192" s="200">
        <f t="shared" si="64"/>
        <v>45082</v>
      </c>
      <c r="D192" s="200">
        <f t="shared" si="64"/>
        <v>45103</v>
      </c>
      <c r="E192" s="52" t="s">
        <v>59</v>
      </c>
      <c r="F192" s="145">
        <v>9</v>
      </c>
      <c r="G192" s="182">
        <v>38</v>
      </c>
      <c r="H192" s="183">
        <f t="shared" si="50"/>
        <v>1391.1942737059592</v>
      </c>
      <c r="I192" s="183">
        <f t="shared" si="63"/>
        <v>1371.0212071439194</v>
      </c>
      <c r="J192" s="184">
        <f t="shared" si="51"/>
        <v>52098.805871468932</v>
      </c>
      <c r="K192" s="185">
        <f t="shared" si="45"/>
        <v>52865.382400826449</v>
      </c>
      <c r="L192" s="186">
        <f t="shared" si="65"/>
        <v>-766.57652935751685</v>
      </c>
      <c r="M192" s="187">
        <f t="shared" si="52"/>
        <v>-62.830661554787277</v>
      </c>
      <c r="N192" s="188">
        <f t="shared" si="53"/>
        <v>-829.40719091230415</v>
      </c>
      <c r="O192" s="187">
        <f t="shared" si="54"/>
        <v>0</v>
      </c>
      <c r="P192" s="187">
        <f t="shared" si="55"/>
        <v>0</v>
      </c>
      <c r="Q192" s="187">
        <v>0</v>
      </c>
      <c r="R192" s="188">
        <f t="shared" si="56"/>
        <v>-829.40719091230415</v>
      </c>
    </row>
    <row r="193" spans="1:18" x14ac:dyDescent="0.25">
      <c r="A193" s="145">
        <v>6</v>
      </c>
      <c r="B193" s="180">
        <f t="shared" si="49"/>
        <v>45078</v>
      </c>
      <c r="C193" s="200">
        <f t="shared" si="64"/>
        <v>45112</v>
      </c>
      <c r="D193" s="200">
        <f t="shared" si="64"/>
        <v>45131</v>
      </c>
      <c r="E193" s="52" t="s">
        <v>59</v>
      </c>
      <c r="F193" s="145">
        <v>9</v>
      </c>
      <c r="G193" s="182">
        <v>48</v>
      </c>
      <c r="H193" s="183">
        <f t="shared" si="50"/>
        <v>1391.1942737059592</v>
      </c>
      <c r="I193" s="183">
        <f t="shared" si="63"/>
        <v>1371.0212071439194</v>
      </c>
      <c r="J193" s="184">
        <f t="shared" si="51"/>
        <v>65809.017942908133</v>
      </c>
      <c r="K193" s="185">
        <f t="shared" si="45"/>
        <v>66777.325137886044</v>
      </c>
      <c r="L193" s="190">
        <f t="shared" si="65"/>
        <v>-968.30719497791142</v>
      </c>
      <c r="M193" s="187">
        <f t="shared" si="52"/>
        <v>-79.365046174468134</v>
      </c>
      <c r="N193" s="188">
        <f t="shared" si="53"/>
        <v>-1047.6722411523795</v>
      </c>
      <c r="O193" s="187">
        <f t="shared" si="54"/>
        <v>0</v>
      </c>
      <c r="P193" s="187">
        <f t="shared" si="55"/>
        <v>0</v>
      </c>
      <c r="Q193" s="187">
        <v>0</v>
      </c>
      <c r="R193" s="188">
        <f t="shared" si="56"/>
        <v>-1047.6722411523795</v>
      </c>
    </row>
    <row r="194" spans="1:18" x14ac:dyDescent="0.25">
      <c r="A194" s="111">
        <v>7</v>
      </c>
      <c r="B194" s="180">
        <f t="shared" si="49"/>
        <v>45108</v>
      </c>
      <c r="C194" s="200">
        <f t="shared" si="64"/>
        <v>45141</v>
      </c>
      <c r="D194" s="200">
        <f t="shared" si="64"/>
        <v>45162</v>
      </c>
      <c r="E194" s="52" t="s">
        <v>59</v>
      </c>
      <c r="F194" s="145">
        <v>9</v>
      </c>
      <c r="G194" s="182">
        <v>49</v>
      </c>
      <c r="H194" s="183">
        <f t="shared" si="50"/>
        <v>1391.1942737059592</v>
      </c>
      <c r="I194" s="183">
        <f t="shared" si="63"/>
        <v>1371.0212071439194</v>
      </c>
      <c r="J194" s="184">
        <f t="shared" si="51"/>
        <v>67180.039150052049</v>
      </c>
      <c r="K194" s="191">
        <f t="shared" si="45"/>
        <v>68168.519411592002</v>
      </c>
      <c r="L194" s="190">
        <f t="shared" si="65"/>
        <v>-988.48026153995306</v>
      </c>
      <c r="M194" s="187">
        <f t="shared" si="52"/>
        <v>-81.018484636436213</v>
      </c>
      <c r="N194" s="188">
        <f t="shared" si="53"/>
        <v>-1069.4987461763892</v>
      </c>
      <c r="O194" s="187">
        <f t="shared" si="54"/>
        <v>0</v>
      </c>
      <c r="P194" s="187">
        <f t="shared" si="55"/>
        <v>0</v>
      </c>
      <c r="Q194" s="187">
        <v>0</v>
      </c>
      <c r="R194" s="188">
        <f t="shared" si="56"/>
        <v>-1069.4987461763892</v>
      </c>
    </row>
    <row r="195" spans="1:18" x14ac:dyDescent="0.25">
      <c r="A195" s="145">
        <v>8</v>
      </c>
      <c r="B195" s="180">
        <f t="shared" si="49"/>
        <v>45139</v>
      </c>
      <c r="C195" s="200">
        <f t="shared" si="64"/>
        <v>45174</v>
      </c>
      <c r="D195" s="200">
        <f t="shared" si="64"/>
        <v>45194</v>
      </c>
      <c r="E195" s="52" t="s">
        <v>59</v>
      </c>
      <c r="F195" s="145">
        <v>9</v>
      </c>
      <c r="G195" s="182">
        <v>50</v>
      </c>
      <c r="H195" s="183">
        <f t="shared" si="50"/>
        <v>1391.1942737059592</v>
      </c>
      <c r="I195" s="183">
        <f t="shared" si="63"/>
        <v>1371.0212071439194</v>
      </c>
      <c r="J195" s="184">
        <f t="shared" si="51"/>
        <v>68551.060357195965</v>
      </c>
      <c r="K195" s="191">
        <f t="shared" si="45"/>
        <v>69559.71368529796</v>
      </c>
      <c r="L195" s="190">
        <f t="shared" si="65"/>
        <v>-1008.6533281019947</v>
      </c>
      <c r="M195" s="187">
        <f t="shared" si="52"/>
        <v>-82.671923098404307</v>
      </c>
      <c r="N195" s="188">
        <f t="shared" si="53"/>
        <v>-1091.325251200399</v>
      </c>
      <c r="O195" s="187">
        <f t="shared" si="54"/>
        <v>0</v>
      </c>
      <c r="P195" s="187">
        <f t="shared" si="55"/>
        <v>0</v>
      </c>
      <c r="Q195" s="187">
        <v>0</v>
      </c>
      <c r="R195" s="188">
        <f t="shared" si="56"/>
        <v>-1091.325251200399</v>
      </c>
    </row>
    <row r="196" spans="1:18" x14ac:dyDescent="0.25">
      <c r="A196" s="145">
        <v>9</v>
      </c>
      <c r="B196" s="180">
        <f t="shared" si="49"/>
        <v>45170</v>
      </c>
      <c r="C196" s="200">
        <f t="shared" si="64"/>
        <v>45203</v>
      </c>
      <c r="D196" s="200">
        <f t="shared" si="64"/>
        <v>45223</v>
      </c>
      <c r="E196" s="52" t="s">
        <v>59</v>
      </c>
      <c r="F196" s="145">
        <v>9</v>
      </c>
      <c r="G196" s="182">
        <v>47</v>
      </c>
      <c r="H196" s="183">
        <f t="shared" si="50"/>
        <v>1391.1942737059592</v>
      </c>
      <c r="I196" s="183">
        <f t="shared" si="63"/>
        <v>1371.0212071439194</v>
      </c>
      <c r="J196" s="184">
        <f t="shared" si="51"/>
        <v>64437.996735764209</v>
      </c>
      <c r="K196" s="191">
        <f t="shared" si="45"/>
        <v>65386.130864180079</v>
      </c>
      <c r="L196" s="190">
        <f t="shared" si="65"/>
        <v>-948.13412841586978</v>
      </c>
      <c r="M196" s="187">
        <f t="shared" si="52"/>
        <v>-77.711607712500054</v>
      </c>
      <c r="N196" s="188">
        <f t="shared" si="53"/>
        <v>-1025.8457361283699</v>
      </c>
      <c r="O196" s="187">
        <f t="shared" si="54"/>
        <v>0</v>
      </c>
      <c r="P196" s="187">
        <f t="shared" si="55"/>
        <v>0</v>
      </c>
      <c r="Q196" s="187">
        <v>0</v>
      </c>
      <c r="R196" s="188">
        <f t="shared" si="56"/>
        <v>-1025.8457361283699</v>
      </c>
    </row>
    <row r="197" spans="1:18" x14ac:dyDescent="0.25">
      <c r="A197" s="111">
        <v>10</v>
      </c>
      <c r="B197" s="180">
        <f t="shared" si="49"/>
        <v>45200</v>
      </c>
      <c r="C197" s="200">
        <f t="shared" si="64"/>
        <v>45233</v>
      </c>
      <c r="D197" s="200">
        <f t="shared" si="64"/>
        <v>45254</v>
      </c>
      <c r="E197" s="52" t="s">
        <v>59</v>
      </c>
      <c r="F197" s="145">
        <v>9</v>
      </c>
      <c r="G197" s="182">
        <v>36</v>
      </c>
      <c r="H197" s="183">
        <f t="shared" si="50"/>
        <v>1391.1942737059592</v>
      </c>
      <c r="I197" s="183">
        <f t="shared" si="63"/>
        <v>1371.0212071439194</v>
      </c>
      <c r="J197" s="184">
        <f t="shared" si="51"/>
        <v>49356.7634571811</v>
      </c>
      <c r="K197" s="191">
        <f t="shared" si="45"/>
        <v>50082.993853414533</v>
      </c>
      <c r="L197" s="190">
        <f t="shared" si="65"/>
        <v>-726.23039623343357</v>
      </c>
      <c r="M197" s="187">
        <f t="shared" si="52"/>
        <v>-59.523784630851104</v>
      </c>
      <c r="N197" s="188">
        <f t="shared" si="53"/>
        <v>-785.75418086428465</v>
      </c>
      <c r="O197" s="187">
        <f t="shared" si="54"/>
        <v>0</v>
      </c>
      <c r="P197" s="187">
        <f t="shared" si="55"/>
        <v>0</v>
      </c>
      <c r="Q197" s="187">
        <v>0</v>
      </c>
      <c r="R197" s="188">
        <f t="shared" si="56"/>
        <v>-785.75418086428465</v>
      </c>
    </row>
    <row r="198" spans="1:18" x14ac:dyDescent="0.25">
      <c r="A198" s="145">
        <v>11</v>
      </c>
      <c r="B198" s="180">
        <f t="shared" si="49"/>
        <v>45231</v>
      </c>
      <c r="C198" s="200">
        <f t="shared" si="64"/>
        <v>45266</v>
      </c>
      <c r="D198" s="200">
        <f t="shared" si="64"/>
        <v>45285</v>
      </c>
      <c r="E198" s="52" t="s">
        <v>59</v>
      </c>
      <c r="F198" s="145">
        <v>9</v>
      </c>
      <c r="G198" s="182">
        <v>26</v>
      </c>
      <c r="H198" s="183">
        <f t="shared" si="50"/>
        <v>1391.1942737059592</v>
      </c>
      <c r="I198" s="183">
        <f t="shared" si="63"/>
        <v>1371.0212071439194</v>
      </c>
      <c r="J198" s="184">
        <f t="shared" si="51"/>
        <v>35646.551385741906</v>
      </c>
      <c r="K198" s="191">
        <f t="shared" ref="K198:K209" si="66">+$G198*H198</f>
        <v>36171.051116354938</v>
      </c>
      <c r="L198" s="190">
        <f t="shared" si="65"/>
        <v>-524.49973061303172</v>
      </c>
      <c r="M198" s="187">
        <f t="shared" si="52"/>
        <v>-42.98940001117024</v>
      </c>
      <c r="N198" s="188">
        <f t="shared" si="53"/>
        <v>-567.48913062420195</v>
      </c>
      <c r="O198" s="187">
        <f t="shared" si="54"/>
        <v>0</v>
      </c>
      <c r="P198" s="187">
        <f t="shared" si="55"/>
        <v>0</v>
      </c>
      <c r="Q198" s="187">
        <v>0</v>
      </c>
      <c r="R198" s="188">
        <f t="shared" si="56"/>
        <v>-567.48913062420195</v>
      </c>
    </row>
    <row r="199" spans="1:18" s="204" customFormat="1" x14ac:dyDescent="0.25">
      <c r="A199" s="145">
        <v>12</v>
      </c>
      <c r="B199" s="202">
        <f t="shared" si="49"/>
        <v>45261</v>
      </c>
      <c r="C199" s="200">
        <f t="shared" si="64"/>
        <v>45294</v>
      </c>
      <c r="D199" s="200">
        <f t="shared" si="64"/>
        <v>45315</v>
      </c>
      <c r="E199" s="203" t="s">
        <v>59</v>
      </c>
      <c r="F199" s="156">
        <v>9</v>
      </c>
      <c r="G199" s="182">
        <v>31</v>
      </c>
      <c r="H199" s="192">
        <f t="shared" si="50"/>
        <v>1391.1942737059592</v>
      </c>
      <c r="I199" s="192">
        <f t="shared" si="63"/>
        <v>1371.0212071439194</v>
      </c>
      <c r="J199" s="193">
        <f t="shared" si="51"/>
        <v>42501.657421461503</v>
      </c>
      <c r="K199" s="194">
        <f t="shared" si="66"/>
        <v>43127.022484884736</v>
      </c>
      <c r="L199" s="195">
        <f t="shared" si="65"/>
        <v>-625.36506342323264</v>
      </c>
      <c r="M199" s="187">
        <f t="shared" si="52"/>
        <v>-51.256592321010672</v>
      </c>
      <c r="N199" s="188">
        <f t="shared" si="53"/>
        <v>-676.6216557442433</v>
      </c>
      <c r="O199" s="187">
        <f t="shared" si="54"/>
        <v>0</v>
      </c>
      <c r="P199" s="187">
        <f t="shared" si="55"/>
        <v>0</v>
      </c>
      <c r="Q199" s="187">
        <v>0</v>
      </c>
      <c r="R199" s="188">
        <f t="shared" si="56"/>
        <v>-676.6216557442433</v>
      </c>
    </row>
    <row r="200" spans="1:18" x14ac:dyDescent="0.25">
      <c r="A200" s="111">
        <v>1</v>
      </c>
      <c r="B200" s="180">
        <f t="shared" si="49"/>
        <v>44927</v>
      </c>
      <c r="C200" s="197">
        <f t="shared" si="64"/>
        <v>44960</v>
      </c>
      <c r="D200" s="197">
        <f t="shared" si="64"/>
        <v>44981</v>
      </c>
      <c r="E200" s="181" t="s">
        <v>17</v>
      </c>
      <c r="F200" s="111">
        <v>9</v>
      </c>
      <c r="G200" s="182">
        <v>104</v>
      </c>
      <c r="H200" s="183">
        <f t="shared" si="50"/>
        <v>1391.1942737059592</v>
      </c>
      <c r="I200" s="183">
        <f t="shared" si="63"/>
        <v>1371.0212071439194</v>
      </c>
      <c r="J200" s="184">
        <f t="shared" si="51"/>
        <v>142586.20554296763</v>
      </c>
      <c r="K200" s="185">
        <f t="shared" si="66"/>
        <v>144684.20446541975</v>
      </c>
      <c r="L200" s="186">
        <f t="shared" si="65"/>
        <v>-2097.9989224521269</v>
      </c>
      <c r="M200" s="187">
        <f t="shared" si="52"/>
        <v>-171.95760004468096</v>
      </c>
      <c r="N200" s="188">
        <f t="shared" si="53"/>
        <v>-2269.9565224968078</v>
      </c>
      <c r="O200" s="187">
        <f t="shared" si="54"/>
        <v>0</v>
      </c>
      <c r="P200" s="187">
        <f t="shared" si="55"/>
        <v>0</v>
      </c>
      <c r="Q200" s="187">
        <v>0</v>
      </c>
      <c r="R200" s="188">
        <f t="shared" si="56"/>
        <v>-2269.9565224968078</v>
      </c>
    </row>
    <row r="201" spans="1:18" x14ac:dyDescent="0.25">
      <c r="A201" s="145">
        <v>2</v>
      </c>
      <c r="B201" s="180">
        <f t="shared" si="49"/>
        <v>44958</v>
      </c>
      <c r="C201" s="200">
        <f t="shared" si="64"/>
        <v>44988</v>
      </c>
      <c r="D201" s="200">
        <f t="shared" si="64"/>
        <v>45009</v>
      </c>
      <c r="E201" s="189" t="s">
        <v>17</v>
      </c>
      <c r="F201" s="145">
        <v>9</v>
      </c>
      <c r="G201" s="182">
        <v>107</v>
      </c>
      <c r="H201" s="183">
        <f t="shared" si="50"/>
        <v>1391.1942737059592</v>
      </c>
      <c r="I201" s="183">
        <f t="shared" si="63"/>
        <v>1371.0212071439194</v>
      </c>
      <c r="J201" s="184">
        <f t="shared" si="51"/>
        <v>146699.26916439936</v>
      </c>
      <c r="K201" s="185">
        <f t="shared" si="66"/>
        <v>148857.78728653764</v>
      </c>
      <c r="L201" s="186">
        <f t="shared" si="65"/>
        <v>-2158.5181221382809</v>
      </c>
      <c r="M201" s="187">
        <f t="shared" si="52"/>
        <v>-176.91791543058523</v>
      </c>
      <c r="N201" s="188">
        <f t="shared" si="53"/>
        <v>-2335.4360375688661</v>
      </c>
      <c r="O201" s="187">
        <f t="shared" si="54"/>
        <v>0</v>
      </c>
      <c r="P201" s="187">
        <f t="shared" si="55"/>
        <v>0</v>
      </c>
      <c r="Q201" s="187">
        <v>0</v>
      </c>
      <c r="R201" s="188">
        <f t="shared" si="56"/>
        <v>-2335.4360375688661</v>
      </c>
    </row>
    <row r="202" spans="1:18" x14ac:dyDescent="0.25">
      <c r="A202" s="145">
        <v>3</v>
      </c>
      <c r="B202" s="180">
        <f t="shared" si="49"/>
        <v>44986</v>
      </c>
      <c r="C202" s="200">
        <f t="shared" si="64"/>
        <v>45021</v>
      </c>
      <c r="D202" s="200">
        <f t="shared" si="64"/>
        <v>45040</v>
      </c>
      <c r="E202" s="189" t="s">
        <v>17</v>
      </c>
      <c r="F202" s="145">
        <v>9</v>
      </c>
      <c r="G202" s="182">
        <v>103</v>
      </c>
      <c r="H202" s="183">
        <f t="shared" si="50"/>
        <v>1391.1942737059592</v>
      </c>
      <c r="I202" s="183">
        <f t="shared" si="63"/>
        <v>1371.0212071439194</v>
      </c>
      <c r="J202" s="184">
        <f t="shared" si="51"/>
        <v>141215.18433582369</v>
      </c>
      <c r="K202" s="185">
        <f t="shared" si="66"/>
        <v>143293.01019171381</v>
      </c>
      <c r="L202" s="186">
        <f>+J202-K202</f>
        <v>-2077.8258558901143</v>
      </c>
      <c r="M202" s="187">
        <f t="shared" si="52"/>
        <v>-170.30416158271288</v>
      </c>
      <c r="N202" s="188">
        <f t="shared" si="53"/>
        <v>-2248.1300174728271</v>
      </c>
      <c r="O202" s="187">
        <f t="shared" si="54"/>
        <v>0</v>
      </c>
      <c r="P202" s="187">
        <f t="shared" si="55"/>
        <v>0</v>
      </c>
      <c r="Q202" s="187">
        <v>0</v>
      </c>
      <c r="R202" s="188">
        <f t="shared" si="56"/>
        <v>-2248.1300174728271</v>
      </c>
    </row>
    <row r="203" spans="1:18" x14ac:dyDescent="0.25">
      <c r="A203" s="111">
        <v>4</v>
      </c>
      <c r="B203" s="180">
        <f t="shared" si="49"/>
        <v>45017</v>
      </c>
      <c r="C203" s="200">
        <f t="shared" si="64"/>
        <v>45049</v>
      </c>
      <c r="D203" s="200">
        <f t="shared" si="64"/>
        <v>45070</v>
      </c>
      <c r="E203" s="189" t="s">
        <v>17</v>
      </c>
      <c r="F203" s="145">
        <v>9</v>
      </c>
      <c r="G203" s="182">
        <v>98</v>
      </c>
      <c r="H203" s="183">
        <f t="shared" si="50"/>
        <v>1391.1942737059592</v>
      </c>
      <c r="I203" s="183">
        <f t="shared" si="63"/>
        <v>1371.0212071439194</v>
      </c>
      <c r="J203" s="184">
        <f t="shared" si="51"/>
        <v>134360.0783001041</v>
      </c>
      <c r="K203" s="185">
        <f t="shared" si="66"/>
        <v>136337.038823184</v>
      </c>
      <c r="L203" s="186">
        <f t="shared" ref="L203:L211" si="67">+J203-K203</f>
        <v>-1976.9605230799061</v>
      </c>
      <c r="M203" s="187">
        <f t="shared" si="52"/>
        <v>-162.03696927287243</v>
      </c>
      <c r="N203" s="188">
        <f t="shared" si="53"/>
        <v>-2138.9974923527784</v>
      </c>
      <c r="O203" s="187">
        <f t="shared" si="54"/>
        <v>0</v>
      </c>
      <c r="P203" s="187">
        <f t="shared" si="55"/>
        <v>0</v>
      </c>
      <c r="Q203" s="187">
        <v>0</v>
      </c>
      <c r="R203" s="188">
        <f t="shared" si="56"/>
        <v>-2138.9974923527784</v>
      </c>
    </row>
    <row r="204" spans="1:18" x14ac:dyDescent="0.25">
      <c r="A204" s="145">
        <v>5</v>
      </c>
      <c r="B204" s="180">
        <f t="shared" si="49"/>
        <v>45047</v>
      </c>
      <c r="C204" s="200">
        <f t="shared" si="64"/>
        <v>45082</v>
      </c>
      <c r="D204" s="200">
        <f t="shared" si="64"/>
        <v>45103</v>
      </c>
      <c r="E204" s="52" t="s">
        <v>17</v>
      </c>
      <c r="F204" s="145">
        <v>9</v>
      </c>
      <c r="G204" s="182">
        <v>105</v>
      </c>
      <c r="H204" s="183">
        <f t="shared" si="50"/>
        <v>1391.1942737059592</v>
      </c>
      <c r="I204" s="183">
        <f t="shared" si="63"/>
        <v>1371.0212071439194</v>
      </c>
      <c r="J204" s="184">
        <f t="shared" si="51"/>
        <v>143957.22675011153</v>
      </c>
      <c r="K204" s="185">
        <f t="shared" si="66"/>
        <v>146075.39873912573</v>
      </c>
      <c r="L204" s="186">
        <f t="shared" si="67"/>
        <v>-2118.1719890141976</v>
      </c>
      <c r="M204" s="187">
        <f t="shared" si="52"/>
        <v>-173.61103850664904</v>
      </c>
      <c r="N204" s="188">
        <f t="shared" si="53"/>
        <v>-2291.7830275208466</v>
      </c>
      <c r="O204" s="187">
        <f t="shared" si="54"/>
        <v>0</v>
      </c>
      <c r="P204" s="187">
        <f t="shared" si="55"/>
        <v>0</v>
      </c>
      <c r="Q204" s="187">
        <v>0</v>
      </c>
      <c r="R204" s="188">
        <f t="shared" si="56"/>
        <v>-2291.7830275208466</v>
      </c>
    </row>
    <row r="205" spans="1:18" x14ac:dyDescent="0.25">
      <c r="A205" s="145">
        <v>6</v>
      </c>
      <c r="B205" s="180">
        <f t="shared" si="49"/>
        <v>45078</v>
      </c>
      <c r="C205" s="200">
        <f t="shared" si="64"/>
        <v>45112</v>
      </c>
      <c r="D205" s="200">
        <f t="shared" si="64"/>
        <v>45131</v>
      </c>
      <c r="E205" s="52" t="s">
        <v>17</v>
      </c>
      <c r="F205" s="145">
        <v>9</v>
      </c>
      <c r="G205" s="182">
        <v>115</v>
      </c>
      <c r="H205" s="183">
        <f t="shared" si="50"/>
        <v>1391.1942737059592</v>
      </c>
      <c r="I205" s="183">
        <f t="shared" si="63"/>
        <v>1371.0212071439194</v>
      </c>
      <c r="J205" s="184">
        <f t="shared" si="51"/>
        <v>157667.43882155072</v>
      </c>
      <c r="K205" s="185">
        <f t="shared" si="66"/>
        <v>159987.34147618531</v>
      </c>
      <c r="L205" s="190">
        <f t="shared" si="67"/>
        <v>-2319.9026546345849</v>
      </c>
      <c r="M205" s="187">
        <f t="shared" si="52"/>
        <v>-190.14542312632989</v>
      </c>
      <c r="N205" s="188">
        <f t="shared" si="53"/>
        <v>-2510.0480777609146</v>
      </c>
      <c r="O205" s="187">
        <f t="shared" si="54"/>
        <v>0</v>
      </c>
      <c r="P205" s="187">
        <f t="shared" si="55"/>
        <v>0</v>
      </c>
      <c r="Q205" s="187">
        <v>0</v>
      </c>
      <c r="R205" s="188">
        <f t="shared" si="56"/>
        <v>-2510.0480777609146</v>
      </c>
    </row>
    <row r="206" spans="1:18" x14ac:dyDescent="0.25">
      <c r="A206" s="111">
        <v>7</v>
      </c>
      <c r="B206" s="180">
        <f t="shared" si="49"/>
        <v>45108</v>
      </c>
      <c r="C206" s="200">
        <f t="shared" si="64"/>
        <v>45141</v>
      </c>
      <c r="D206" s="200">
        <f t="shared" si="64"/>
        <v>45162</v>
      </c>
      <c r="E206" s="52" t="s">
        <v>17</v>
      </c>
      <c r="F206" s="145">
        <v>9</v>
      </c>
      <c r="G206" s="182">
        <v>110</v>
      </c>
      <c r="H206" s="183">
        <f t="shared" si="50"/>
        <v>1391.1942737059592</v>
      </c>
      <c r="I206" s="183">
        <f t="shared" si="63"/>
        <v>1371.0212071439194</v>
      </c>
      <c r="J206" s="184">
        <f t="shared" si="51"/>
        <v>150812.33278583112</v>
      </c>
      <c r="K206" s="191">
        <f t="shared" si="66"/>
        <v>153031.3701076555</v>
      </c>
      <c r="L206" s="190">
        <f t="shared" si="67"/>
        <v>-2219.0373218243767</v>
      </c>
      <c r="M206" s="187">
        <f t="shared" si="52"/>
        <v>-181.87823081648949</v>
      </c>
      <c r="N206" s="188">
        <f t="shared" si="53"/>
        <v>-2400.9155526408663</v>
      </c>
      <c r="O206" s="187">
        <f t="shared" si="54"/>
        <v>0</v>
      </c>
      <c r="P206" s="187">
        <f t="shared" si="55"/>
        <v>0</v>
      </c>
      <c r="Q206" s="187">
        <v>0</v>
      </c>
      <c r="R206" s="188">
        <f t="shared" si="56"/>
        <v>-2400.9155526408663</v>
      </c>
    </row>
    <row r="207" spans="1:18" x14ac:dyDescent="0.25">
      <c r="A207" s="145">
        <v>8</v>
      </c>
      <c r="B207" s="180">
        <f t="shared" si="49"/>
        <v>45139</v>
      </c>
      <c r="C207" s="200">
        <f t="shared" si="64"/>
        <v>45174</v>
      </c>
      <c r="D207" s="200">
        <f t="shared" si="64"/>
        <v>45194</v>
      </c>
      <c r="E207" s="52" t="s">
        <v>17</v>
      </c>
      <c r="F207" s="145">
        <v>9</v>
      </c>
      <c r="G207" s="182">
        <v>109</v>
      </c>
      <c r="H207" s="183">
        <f t="shared" si="50"/>
        <v>1391.1942737059592</v>
      </c>
      <c r="I207" s="183">
        <f t="shared" si="63"/>
        <v>1371.0212071439194</v>
      </c>
      <c r="J207" s="184">
        <f t="shared" si="51"/>
        <v>149441.31157868722</v>
      </c>
      <c r="K207" s="191">
        <f t="shared" si="66"/>
        <v>151640.17583394956</v>
      </c>
      <c r="L207" s="190">
        <f t="shared" si="67"/>
        <v>-2198.8642552623351</v>
      </c>
      <c r="M207" s="187">
        <f t="shared" si="52"/>
        <v>-180.22479235452138</v>
      </c>
      <c r="N207" s="188">
        <f t="shared" si="53"/>
        <v>-2379.0890476168565</v>
      </c>
      <c r="O207" s="187">
        <f t="shared" si="54"/>
        <v>0</v>
      </c>
      <c r="P207" s="187">
        <f t="shared" si="55"/>
        <v>0</v>
      </c>
      <c r="Q207" s="187">
        <v>0</v>
      </c>
      <c r="R207" s="188">
        <f t="shared" si="56"/>
        <v>-2379.0890476168565</v>
      </c>
    </row>
    <row r="208" spans="1:18" x14ac:dyDescent="0.25">
      <c r="A208" s="145">
        <v>9</v>
      </c>
      <c r="B208" s="180">
        <f t="shared" si="49"/>
        <v>45170</v>
      </c>
      <c r="C208" s="200">
        <f t="shared" si="64"/>
        <v>45203</v>
      </c>
      <c r="D208" s="200">
        <f t="shared" si="64"/>
        <v>45223</v>
      </c>
      <c r="E208" s="52" t="s">
        <v>17</v>
      </c>
      <c r="F208" s="145">
        <v>9</v>
      </c>
      <c r="G208" s="182">
        <v>112</v>
      </c>
      <c r="H208" s="183">
        <f t="shared" si="50"/>
        <v>1391.1942737059592</v>
      </c>
      <c r="I208" s="183">
        <f t="shared" si="63"/>
        <v>1371.0212071439194</v>
      </c>
      <c r="J208" s="184">
        <f t="shared" si="51"/>
        <v>153554.37520011896</v>
      </c>
      <c r="K208" s="191">
        <f t="shared" si="66"/>
        <v>155813.75865506742</v>
      </c>
      <c r="L208" s="190">
        <f t="shared" si="67"/>
        <v>-2259.38345494846</v>
      </c>
      <c r="M208" s="187">
        <f t="shared" si="52"/>
        <v>-185.18510774042565</v>
      </c>
      <c r="N208" s="188">
        <f t="shared" si="53"/>
        <v>-2444.5685626888858</v>
      </c>
      <c r="O208" s="187">
        <f t="shared" si="54"/>
        <v>0</v>
      </c>
      <c r="P208" s="187">
        <f t="shared" si="55"/>
        <v>0</v>
      </c>
      <c r="Q208" s="187">
        <v>0</v>
      </c>
      <c r="R208" s="188">
        <f t="shared" si="56"/>
        <v>-2444.5685626888858</v>
      </c>
    </row>
    <row r="209" spans="1:18" x14ac:dyDescent="0.25">
      <c r="A209" s="111">
        <v>10</v>
      </c>
      <c r="B209" s="180">
        <f t="shared" si="49"/>
        <v>45200</v>
      </c>
      <c r="C209" s="200">
        <f t="shared" si="64"/>
        <v>45233</v>
      </c>
      <c r="D209" s="200">
        <f t="shared" si="64"/>
        <v>45254</v>
      </c>
      <c r="E209" s="52" t="s">
        <v>17</v>
      </c>
      <c r="F209" s="145">
        <v>9</v>
      </c>
      <c r="G209" s="182">
        <v>107</v>
      </c>
      <c r="H209" s="183">
        <f t="shared" si="50"/>
        <v>1391.1942737059592</v>
      </c>
      <c r="I209" s="183">
        <f t="shared" si="63"/>
        <v>1371.0212071439194</v>
      </c>
      <c r="J209" s="184">
        <f t="shared" si="51"/>
        <v>146699.26916439936</v>
      </c>
      <c r="K209" s="191">
        <f t="shared" si="66"/>
        <v>148857.78728653764</v>
      </c>
      <c r="L209" s="190">
        <f t="shared" si="67"/>
        <v>-2158.5181221382809</v>
      </c>
      <c r="M209" s="187">
        <f t="shared" si="52"/>
        <v>-176.91791543058523</v>
      </c>
      <c r="N209" s="188">
        <f t="shared" si="53"/>
        <v>-2335.4360375688661</v>
      </c>
      <c r="O209" s="187">
        <f t="shared" si="54"/>
        <v>0</v>
      </c>
      <c r="P209" s="187">
        <f t="shared" si="55"/>
        <v>0</v>
      </c>
      <c r="Q209" s="187">
        <v>0</v>
      </c>
      <c r="R209" s="188">
        <f t="shared" si="56"/>
        <v>-2335.4360375688661</v>
      </c>
    </row>
    <row r="210" spans="1:18" x14ac:dyDescent="0.25">
      <c r="A210" s="145">
        <v>11</v>
      </c>
      <c r="B210" s="180">
        <f t="shared" si="49"/>
        <v>45231</v>
      </c>
      <c r="C210" s="200">
        <f t="shared" si="64"/>
        <v>45266</v>
      </c>
      <c r="D210" s="200">
        <f t="shared" si="64"/>
        <v>45285</v>
      </c>
      <c r="E210" s="52" t="s">
        <v>17</v>
      </c>
      <c r="F210" s="145">
        <v>9</v>
      </c>
      <c r="G210" s="182">
        <v>104</v>
      </c>
      <c r="H210" s="183">
        <f t="shared" si="50"/>
        <v>1391.1942737059592</v>
      </c>
      <c r="I210" s="183">
        <f t="shared" si="63"/>
        <v>1371.0212071439194</v>
      </c>
      <c r="J210" s="184">
        <f t="shared" si="51"/>
        <v>142586.20554296763</v>
      </c>
      <c r="K210" s="191">
        <f>+$G210*H210</f>
        <v>144684.20446541975</v>
      </c>
      <c r="L210" s="190">
        <f t="shared" si="67"/>
        <v>-2097.9989224521269</v>
      </c>
      <c r="M210" s="187">
        <f t="shared" si="52"/>
        <v>-171.95760004468096</v>
      </c>
      <c r="N210" s="188">
        <f t="shared" si="53"/>
        <v>-2269.9565224968078</v>
      </c>
      <c r="O210" s="187">
        <f t="shared" si="54"/>
        <v>0</v>
      </c>
      <c r="P210" s="187">
        <f t="shared" si="55"/>
        <v>0</v>
      </c>
      <c r="Q210" s="187">
        <v>0</v>
      </c>
      <c r="R210" s="188">
        <f t="shared" si="56"/>
        <v>-2269.9565224968078</v>
      </c>
    </row>
    <row r="211" spans="1:18" s="204" customFormat="1" x14ac:dyDescent="0.25">
      <c r="A211" s="145">
        <v>12</v>
      </c>
      <c r="B211" s="202">
        <f t="shared" si="49"/>
        <v>45261</v>
      </c>
      <c r="C211" s="205">
        <f t="shared" si="64"/>
        <v>45294</v>
      </c>
      <c r="D211" s="205">
        <f t="shared" si="64"/>
        <v>45315</v>
      </c>
      <c r="E211" s="203" t="s">
        <v>17</v>
      </c>
      <c r="F211" s="156">
        <v>9</v>
      </c>
      <c r="G211" s="182">
        <v>101</v>
      </c>
      <c r="H211" s="192">
        <f t="shared" si="50"/>
        <v>1391.1942737059592</v>
      </c>
      <c r="I211" s="192">
        <f t="shared" si="63"/>
        <v>1371.0212071439194</v>
      </c>
      <c r="J211" s="193">
        <f t="shared" si="51"/>
        <v>138473.14192153586</v>
      </c>
      <c r="K211" s="194">
        <f>+$G211*H211</f>
        <v>140510.62164430186</v>
      </c>
      <c r="L211" s="195">
        <f t="shared" si="67"/>
        <v>-2037.4797227660019</v>
      </c>
      <c r="M211" s="193">
        <f t="shared" si="52"/>
        <v>-166.99728465877672</v>
      </c>
      <c r="N211" s="188">
        <f t="shared" si="53"/>
        <v>-2204.4770074247785</v>
      </c>
      <c r="O211" s="193">
        <f t="shared" si="54"/>
        <v>0</v>
      </c>
      <c r="P211" s="210">
        <f t="shared" si="55"/>
        <v>0</v>
      </c>
      <c r="Q211" s="187">
        <v>0</v>
      </c>
      <c r="R211" s="188">
        <f t="shared" si="56"/>
        <v>-2204.4770074247785</v>
      </c>
    </row>
    <row r="212" spans="1:18" x14ac:dyDescent="0.25">
      <c r="G212" s="211">
        <f>SUM(G20:G211)</f>
        <v>102178</v>
      </c>
      <c r="H212" s="49"/>
      <c r="I212" s="49"/>
      <c r="J212" s="49">
        <f>SUM(J20:J211)</f>
        <v>140088204.90355152</v>
      </c>
      <c r="K212" s="49">
        <f>SUM(K20:K211)</f>
        <v>142149448.49872735</v>
      </c>
      <c r="L212" s="49">
        <f>SUM(L20:L211)</f>
        <v>-2061243.59517611</v>
      </c>
      <c r="M212" s="49">
        <f>SUM(M20:M211)</f>
        <v>-168945.03516697502</v>
      </c>
      <c r="N212" s="49"/>
      <c r="O212" s="49"/>
      <c r="P212" s="49">
        <f>SUM(P20:P211)</f>
        <v>0</v>
      </c>
      <c r="Q212" s="49"/>
      <c r="R212" s="212">
        <f>SUM(R20:R211)</f>
        <v>-2230188.6303430791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" bottom="1" header="0.5" footer="0.5"/>
  <pageSetup scale="80" fitToHeight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w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Toy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9F2697C-8AA3-4853-90AC-D1EFBA06E9B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6FFE621-CA67-40AB-B039-EB1984E659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2021 NOLC Refund Detail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Jeffrey S Dornsife</cp:lastModifiedBy>
  <cp:lastPrinted>2024-05-24T14:21:42Z</cp:lastPrinted>
  <dcterms:created xsi:type="dcterms:W3CDTF">2009-09-04T18:19:13Z</dcterms:created>
  <dcterms:modified xsi:type="dcterms:W3CDTF">2024-05-24T14:21:56Z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6c50bb87-5e35-48e4-8c52-adbcd654b860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{99F2697C-8AA3-4853-90AC-D1EFBA06E9BE}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